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catrockcap.sharepoint.com/sites/allstaff/Shared Documents/Portfolio/Internet - PDD/Model/"/>
    </mc:Choice>
  </mc:AlternateContent>
  <xr:revisionPtr revIDLastSave="116" documentId="8_{A8DA6001-7A1E-4F16-AA43-20D5B8B34190}" xr6:coauthVersionLast="47" xr6:coauthVersionMax="47" xr10:uidLastSave="{24925934-F0D8-4D29-9E3C-EF823D12E8F1}"/>
  <bookViews>
    <workbookView xWindow="6540" yWindow="2100" windowWidth="26970" windowHeight="15210" tabRatio="742" firstSheet="1" activeTab="1" xr2:uid="{7FC46A93-2823-48AE-B75E-83BE2461E885}"/>
  </bookViews>
  <sheets>
    <sheet name="_CIQHiddenCacheSheet" sheetId="376" state="veryHidden" r:id="rId1"/>
    <sheet name="Simple Model - Case 1" sheetId="2" r:id="rId2"/>
    <sheet name="TAM_Penetration - Case 1" sheetId="7" r:id="rId3"/>
    <sheet name="Historical Financials" sheetId="1" r:id="rId4"/>
    <sheet name="CRC vs. Consensus" sheetId="194" r:id="rId5"/>
    <sheet name="4Q24 S&amp;M Analysis" sheetId="326" r:id="rId6"/>
    <sheet name="Variance Analysis" sheetId="13" r:id="rId7"/>
    <sheet name="2023 Cash Analysis" sheetId="273" r:id="rId8"/>
    <sheet name="Offshore Cash_Int Income" sheetId="216" r:id="rId9"/>
    <sheet name="Sheet1" sheetId="56" r:id="rId10"/>
    <sheet name="Sheet9" sheetId="258" r:id="rId11"/>
    <sheet name="Sheet2" sheetId="60" r:id="rId12"/>
    <sheet name="Profit Commentary" sheetId="92" r:id="rId13"/>
    <sheet name="OTR" sheetId="220" r:id="rId14"/>
  </sheets>
  <definedNames>
    <definedName name="CIQWBGuid" hidden="1">"08e17407-7668-49f9-abcb-f42c44a30974"</definedName>
    <definedName name="CIQWBInfo" hidden="1">"{ ""CIQVersion"":""9.49.2423.4439""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45271.910162037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7">'2023 Cash Analysis'!$B$2:$H$48</definedName>
    <definedName name="_xlnm.Print_Area" localSheetId="5">'4Q24 S&amp;M Analysis'!$B$2:$N$43</definedName>
    <definedName name="_xlnm.Print_Area" localSheetId="4">'CRC vs. Consensus'!$B$2:$O$55</definedName>
    <definedName name="_xlnm.Print_Area" localSheetId="3">'Historical Financials'!$B$2:$AX$851</definedName>
    <definedName name="_xlnm.Print_Area" localSheetId="8">'Offshore Cash_Int Income'!$B$2:$AA$110</definedName>
    <definedName name="_xlnm.Print_Area" localSheetId="13">OTR!$B$2:$W$78</definedName>
    <definedName name="_xlnm.Print_Area" localSheetId="12">'Profit Commentary'!$B$2:$F$19</definedName>
    <definedName name="_xlnm.Print_Area" localSheetId="1">'Simple Model - Case 1'!$B$2:$U$129</definedName>
    <definedName name="_xlnm.Print_Area" localSheetId="2">'TAM_Penetration - Case 1'!$B$2:$U$53</definedName>
    <definedName name="_xlnm.Print_Area" localSheetId="6">'Variance Analysis'!$B$2:$I$28</definedName>
    <definedName name="_xlnm.Print_Titles" localSheetId="3">'Historical Financials'!$2:$9</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3" i="2" l="1" a="1"/>
  <c r="F123" i="2"/>
  <c r="AL549" i="1" l="1" a="1"/>
  <c r="AL549" i="1" l="1"/>
  <c r="AM549" i="1" a="1"/>
  <c r="AM549" i="1"/>
  <c r="AJ549" i="1" a="1"/>
  <c r="AJ549" i="1"/>
  <c r="AK549" i="1" a="1"/>
  <c r="AK549" i="1"/>
  <c r="AO549" i="1" a="1"/>
  <c r="AO549" i="1"/>
  <c r="D549" i="1" a="1"/>
  <c r="D549" i="1"/>
  <c r="J110" i="2"/>
  <c r="K110" i="2"/>
  <c r="L110" i="2"/>
  <c r="W2" i="220"/>
  <c r="E10" i="220"/>
  <c r="F10" i="220"/>
  <c r="G10" i="220"/>
  <c r="H10" i="220"/>
  <c r="I10" i="220"/>
  <c r="J10" i="220"/>
  <c r="K10" i="220"/>
  <c r="L10" i="220"/>
  <c r="M10" i="220"/>
  <c r="N10" i="220"/>
  <c r="N18" i="220" s="1"/>
  <c r="O10" i="220"/>
  <c r="P10" i="220"/>
  <c r="P18" i="220" s="1"/>
  <c r="Q10" i="220"/>
  <c r="Q18" i="220" s="1"/>
  <c r="R10" i="220"/>
  <c r="R18" i="220" s="1"/>
  <c r="S10" i="220"/>
  <c r="S18" i="220" s="1"/>
  <c r="T10" i="220"/>
  <c r="U10" i="220"/>
  <c r="V10" i="220"/>
  <c r="C14" i="220"/>
  <c r="D14" i="220"/>
  <c r="E14" i="220"/>
  <c r="F14" i="220"/>
  <c r="G14" i="220"/>
  <c r="H14" i="220"/>
  <c r="I14" i="220"/>
  <c r="J14" i="220"/>
  <c r="K14" i="220"/>
  <c r="L14" i="220"/>
  <c r="M14" i="220"/>
  <c r="M18" i="220" s="1"/>
  <c r="N14" i="220"/>
  <c r="O14" i="220"/>
  <c r="O18" i="220" s="1"/>
  <c r="P14" i="220"/>
  <c r="Q14" i="220"/>
  <c r="R14" i="220"/>
  <c r="S14" i="220"/>
  <c r="T14" i="220"/>
  <c r="U14" i="220"/>
  <c r="V14" i="220"/>
  <c r="G18" i="220"/>
  <c r="H18" i="220"/>
  <c r="I18" i="220"/>
  <c r="J18" i="220"/>
  <c r="K18" i="220"/>
  <c r="L18" i="220"/>
  <c r="T18" i="220"/>
  <c r="U18" i="220"/>
  <c r="V18" i="220"/>
  <c r="G22" i="220"/>
  <c r="H22" i="220"/>
  <c r="I22" i="220"/>
  <c r="J22" i="220"/>
  <c r="K22" i="220"/>
  <c r="L22" i="220"/>
  <c r="M22" i="220"/>
  <c r="N22" i="220"/>
  <c r="O22" i="220"/>
  <c r="P22" i="220"/>
  <c r="R22" i="220"/>
  <c r="S22" i="220"/>
  <c r="T22" i="220"/>
  <c r="U22" i="220"/>
  <c r="F2" i="92"/>
  <c r="V2" i="56"/>
  <c r="J10" i="56"/>
  <c r="K10" i="56"/>
  <c r="L10" i="56"/>
  <c r="M10" i="56"/>
  <c r="N10" i="56"/>
  <c r="O10" i="56"/>
  <c r="P10" i="56"/>
  <c r="Q10" i="56"/>
  <c r="R10" i="56"/>
  <c r="E15" i="56"/>
  <c r="F15" i="56"/>
  <c r="G15" i="56"/>
  <c r="H15" i="56"/>
  <c r="I15" i="56"/>
  <c r="J15" i="56"/>
  <c r="K15" i="56"/>
  <c r="L15" i="56"/>
  <c r="M15" i="56"/>
  <c r="N15" i="56"/>
  <c r="O15" i="56"/>
  <c r="P15" i="56"/>
  <c r="Q15" i="56"/>
  <c r="R15" i="56"/>
  <c r="AA2" i="216"/>
  <c r="E43" i="216"/>
  <c r="E45" i="216"/>
  <c r="E9" i="216"/>
  <c r="F43" i="216"/>
  <c r="F45" i="216"/>
  <c r="F9" i="216"/>
  <c r="G43" i="216"/>
  <c r="G9" i="216" s="1"/>
  <c r="G45" i="216"/>
  <c r="H43" i="216"/>
  <c r="H45" i="216"/>
  <c r="H53" i="216"/>
  <c r="H60" i="216" s="1"/>
  <c r="H58" i="216"/>
  <c r="H61" i="216" s="1"/>
  <c r="I43" i="216"/>
  <c r="I45" i="216"/>
  <c r="I9" i="216" s="1"/>
  <c r="J43" i="216"/>
  <c r="J45" i="216"/>
  <c r="J64" i="216"/>
  <c r="L53" i="216"/>
  <c r="L60" i="216" s="1"/>
  <c r="L58" i="216"/>
  <c r="L61" i="216" s="1"/>
  <c r="L64" i="216"/>
  <c r="K64" i="216"/>
  <c r="K43" i="216"/>
  <c r="K45" i="216"/>
  <c r="L43" i="216"/>
  <c r="L45" i="216"/>
  <c r="M43" i="216"/>
  <c r="M45" i="216"/>
  <c r="P53" i="216"/>
  <c r="P60" i="216" s="1"/>
  <c r="P58" i="216"/>
  <c r="P61" i="216" s="1"/>
  <c r="P64" i="216"/>
  <c r="M64" i="216"/>
  <c r="N43" i="216"/>
  <c r="N45" i="216"/>
  <c r="N64" i="216"/>
  <c r="O43" i="216"/>
  <c r="O45" i="216"/>
  <c r="O64" i="216"/>
  <c r="P43" i="216"/>
  <c r="P45" i="216"/>
  <c r="Q43" i="216"/>
  <c r="Q45" i="216"/>
  <c r="T53" i="216"/>
  <c r="T60" i="216"/>
  <c r="T58" i="216"/>
  <c r="T61" i="216"/>
  <c r="T46" i="216"/>
  <c r="T64" i="216"/>
  <c r="Q64" i="216"/>
  <c r="Q63" i="216" s="1"/>
  <c r="R43" i="216"/>
  <c r="R45" i="216"/>
  <c r="R64" i="216"/>
  <c r="S43" i="216"/>
  <c r="S45" i="216"/>
  <c r="S64" i="216"/>
  <c r="T43" i="216"/>
  <c r="T45" i="216"/>
  <c r="T9" i="216"/>
  <c r="U43" i="216"/>
  <c r="U45" i="216"/>
  <c r="X53" i="216"/>
  <c r="X60" i="216" s="1"/>
  <c r="X58" i="216"/>
  <c r="X61" i="216" s="1"/>
  <c r="X64" i="216"/>
  <c r="U64" i="216"/>
  <c r="V43" i="216"/>
  <c r="V45" i="216"/>
  <c r="V64" i="216"/>
  <c r="W43" i="216"/>
  <c r="W45" i="216"/>
  <c r="W64" i="216"/>
  <c r="W63" i="216" s="1"/>
  <c r="X43" i="216"/>
  <c r="X45" i="216"/>
  <c r="Y43" i="216"/>
  <c r="Y45" i="216"/>
  <c r="Y64" i="216"/>
  <c r="Z43" i="216"/>
  <c r="Z45" i="216"/>
  <c r="Z64" i="216"/>
  <c r="AA43" i="216"/>
  <c r="AA45" i="216"/>
  <c r="AA64" i="216"/>
  <c r="E12" i="216"/>
  <c r="F12" i="216"/>
  <c r="G12" i="216"/>
  <c r="E17" i="216"/>
  <c r="F17" i="216"/>
  <c r="G17" i="216"/>
  <c r="E19" i="216"/>
  <c r="F19" i="216"/>
  <c r="G19" i="216"/>
  <c r="H19" i="216"/>
  <c r="I19" i="216"/>
  <c r="J19" i="216"/>
  <c r="K19" i="216"/>
  <c r="L19" i="216"/>
  <c r="M19" i="216"/>
  <c r="N19" i="216"/>
  <c r="O19" i="216"/>
  <c r="P19" i="216"/>
  <c r="Q19" i="216"/>
  <c r="R19" i="216"/>
  <c r="H23" i="216"/>
  <c r="L23" i="216"/>
  <c r="P23" i="216"/>
  <c r="T23" i="216"/>
  <c r="X23" i="216"/>
  <c r="AA27" i="216"/>
  <c r="F32" i="216"/>
  <c r="F34" i="216" s="1"/>
  <c r="G32" i="216"/>
  <c r="H32" i="216"/>
  <c r="H34" i="216" s="1"/>
  <c r="I32" i="216"/>
  <c r="J32" i="216"/>
  <c r="K32" i="216"/>
  <c r="L32" i="216"/>
  <c r="M32" i="216"/>
  <c r="N32" i="216"/>
  <c r="O32" i="216"/>
  <c r="P32" i="216"/>
  <c r="Q32" i="216"/>
  <c r="Q34" i="216" s="1"/>
  <c r="R32" i="216"/>
  <c r="R34" i="216" s="1"/>
  <c r="S32" i="216"/>
  <c r="S34" i="216" s="1"/>
  <c r="T32" i="216"/>
  <c r="T34" i="216" s="1"/>
  <c r="U32" i="216"/>
  <c r="U34" i="216" s="1"/>
  <c r="V32" i="216"/>
  <c r="V34" i="216" s="1"/>
  <c r="W32" i="216"/>
  <c r="X32" i="216"/>
  <c r="X34" i="216" s="1"/>
  <c r="Y32" i="216"/>
  <c r="Z32" i="216"/>
  <c r="AA32" i="216"/>
  <c r="E34" i="216"/>
  <c r="G34" i="216"/>
  <c r="I34" i="216"/>
  <c r="J34" i="216"/>
  <c r="K34" i="216"/>
  <c r="L34" i="216"/>
  <c r="M34" i="216"/>
  <c r="N34" i="216"/>
  <c r="O34" i="216"/>
  <c r="P34" i="216"/>
  <c r="W34" i="216"/>
  <c r="Y34" i="216"/>
  <c r="Z34" i="216"/>
  <c r="AA34" i="216"/>
  <c r="E38" i="216"/>
  <c r="F38" i="216"/>
  <c r="G38" i="216"/>
  <c r="H38" i="216"/>
  <c r="I38" i="216"/>
  <c r="J38" i="216"/>
  <c r="K38" i="216"/>
  <c r="L38" i="216"/>
  <c r="M38" i="216"/>
  <c r="N38" i="216"/>
  <c r="O38" i="216"/>
  <c r="P38" i="216"/>
  <c r="Q38" i="216"/>
  <c r="R38" i="216"/>
  <c r="S38" i="216"/>
  <c r="T38" i="216"/>
  <c r="U38" i="216"/>
  <c r="V38" i="216"/>
  <c r="W38" i="216"/>
  <c r="X38" i="216"/>
  <c r="Y38" i="216"/>
  <c r="Z38" i="216"/>
  <c r="AA38" i="216"/>
  <c r="D43" i="216"/>
  <c r="D47" i="216" s="1"/>
  <c r="D44" i="216"/>
  <c r="D45" i="216"/>
  <c r="E44" i="216"/>
  <c r="E47" i="216" s="1"/>
  <c r="F44" i="216"/>
  <c r="F47" i="216"/>
  <c r="G44" i="216"/>
  <c r="G47" i="216" s="1"/>
  <c r="H44" i="216"/>
  <c r="I44" i="216"/>
  <c r="I47" i="216" s="1"/>
  <c r="J44" i="216"/>
  <c r="K44" i="216"/>
  <c r="L44" i="216"/>
  <c r="M44" i="216"/>
  <c r="N44" i="216"/>
  <c r="O44" i="216"/>
  <c r="P44" i="216"/>
  <c r="Q44" i="216"/>
  <c r="R44" i="216"/>
  <c r="S44" i="216"/>
  <c r="T44" i="216"/>
  <c r="T47" i="216"/>
  <c r="U44" i="216"/>
  <c r="V44" i="216"/>
  <c r="W44" i="216"/>
  <c r="X44" i="216"/>
  <c r="Y44" i="216"/>
  <c r="Z44" i="216"/>
  <c r="AA44" i="216"/>
  <c r="E53" i="216"/>
  <c r="E60" i="216" s="1"/>
  <c r="F53" i="216"/>
  <c r="F60" i="216" s="1"/>
  <c r="G53" i="216"/>
  <c r="I53" i="216"/>
  <c r="I60" i="216" s="1"/>
  <c r="J53" i="216"/>
  <c r="K53" i="216"/>
  <c r="M53" i="216"/>
  <c r="N53" i="216"/>
  <c r="O53" i="216"/>
  <c r="Q53" i="216"/>
  <c r="R53" i="216"/>
  <c r="S53" i="216"/>
  <c r="U53" i="216"/>
  <c r="V53" i="216"/>
  <c r="W53" i="216"/>
  <c r="Y53" i="216"/>
  <c r="Z53" i="216"/>
  <c r="Z60" i="216" s="1"/>
  <c r="AA53" i="216"/>
  <c r="AA60" i="216" s="1"/>
  <c r="E58" i="216"/>
  <c r="E61" i="216" s="1"/>
  <c r="F58" i="216"/>
  <c r="F61" i="216" s="1"/>
  <c r="G58" i="216"/>
  <c r="I58" i="216"/>
  <c r="I61" i="216" s="1"/>
  <c r="J58" i="216"/>
  <c r="K58" i="216"/>
  <c r="M58" i="216"/>
  <c r="M61" i="216" s="1"/>
  <c r="M63" i="216" s="1"/>
  <c r="N58" i="216"/>
  <c r="O58" i="216"/>
  <c r="O61" i="216" s="1"/>
  <c r="Q58" i="216"/>
  <c r="Q61" i="216" s="1"/>
  <c r="R58" i="216"/>
  <c r="S58" i="216"/>
  <c r="U58" i="216"/>
  <c r="V58" i="216"/>
  <c r="W58" i="216"/>
  <c r="W61" i="216" s="1"/>
  <c r="Y58" i="216"/>
  <c r="Y61" i="216" s="1"/>
  <c r="Z58" i="216"/>
  <c r="Z61" i="216" s="1"/>
  <c r="AA58" i="216"/>
  <c r="AA61" i="216" s="1"/>
  <c r="G60" i="216"/>
  <c r="J60" i="216"/>
  <c r="K60" i="216"/>
  <c r="M60" i="216"/>
  <c r="N60" i="216"/>
  <c r="N63" i="216" s="1"/>
  <c r="O60" i="216"/>
  <c r="Q60" i="216"/>
  <c r="R60" i="216"/>
  <c r="S60" i="216"/>
  <c r="U60" i="216"/>
  <c r="U63" i="216" s="1"/>
  <c r="V60" i="216"/>
  <c r="V63" i="216" s="1"/>
  <c r="W60" i="216"/>
  <c r="Y60" i="216"/>
  <c r="G61" i="216"/>
  <c r="J61" i="216"/>
  <c r="K61" i="216"/>
  <c r="N61" i="216"/>
  <c r="R61" i="216"/>
  <c r="R63" i="216" s="1"/>
  <c r="S61" i="216"/>
  <c r="S63" i="216" s="1"/>
  <c r="U61" i="216"/>
  <c r="V61" i="216"/>
  <c r="E64" i="216"/>
  <c r="E63" i="216" s="1"/>
  <c r="F64" i="216"/>
  <c r="F63" i="216" s="1"/>
  <c r="G64" i="216"/>
  <c r="G63" i="216" s="1"/>
  <c r="H64" i="216"/>
  <c r="H63" i="216" s="1"/>
  <c r="I64" i="216"/>
  <c r="J63" i="216"/>
  <c r="K63" i="216"/>
  <c r="T63" i="216"/>
  <c r="T88" i="216"/>
  <c r="H2" i="273"/>
  <c r="E10" i="273"/>
  <c r="F10" i="273"/>
  <c r="H10" i="273" s="1"/>
  <c r="G10" i="273"/>
  <c r="C11" i="273"/>
  <c r="D11" i="273"/>
  <c r="E11" i="273"/>
  <c r="F11" i="273"/>
  <c r="G11" i="273"/>
  <c r="E14" i="273"/>
  <c r="E15" i="273" s="1"/>
  <c r="F14" i="273"/>
  <c r="G14" i="273"/>
  <c r="H14" i="273"/>
  <c r="C15" i="273"/>
  <c r="D15" i="273"/>
  <c r="D18" i="273"/>
  <c r="D20" i="273" s="1"/>
  <c r="F20" i="273" s="1"/>
  <c r="H20" i="273" s="1"/>
  <c r="F18" i="273"/>
  <c r="G18" i="273"/>
  <c r="H18" i="273"/>
  <c r="D19" i="273"/>
  <c r="F19" i="273"/>
  <c r="G19" i="273"/>
  <c r="H19" i="273"/>
  <c r="G20" i="273"/>
  <c r="C21" i="273"/>
  <c r="E21" i="273"/>
  <c r="F21" i="273"/>
  <c r="F38" i="273" s="1"/>
  <c r="G21" i="273"/>
  <c r="D24" i="273"/>
  <c r="D27" i="273" s="1"/>
  <c r="H24" i="273"/>
  <c r="D25" i="273"/>
  <c r="F25" i="273"/>
  <c r="H25" i="273"/>
  <c r="D26" i="273"/>
  <c r="F26" i="273" s="1"/>
  <c r="C27" i="273"/>
  <c r="C33" i="273" s="1"/>
  <c r="C34" i="273" s="1"/>
  <c r="E34" i="273"/>
  <c r="E33" i="273"/>
  <c r="E27" i="273"/>
  <c r="G34" i="273"/>
  <c r="G27" i="273"/>
  <c r="F28" i="273"/>
  <c r="H28" i="273"/>
  <c r="F29" i="273"/>
  <c r="H29" i="273"/>
  <c r="F30" i="273"/>
  <c r="H30" i="273"/>
  <c r="F31" i="273"/>
  <c r="H31" i="273"/>
  <c r="F32" i="273"/>
  <c r="H32" i="273"/>
  <c r="F34" i="273"/>
  <c r="H34" i="273"/>
  <c r="I2" i="13"/>
  <c r="G9" i="13"/>
  <c r="H11" i="273" l="1"/>
  <c r="H41" i="273" s="1"/>
  <c r="F41" i="273"/>
  <c r="I89" i="216"/>
  <c r="G89" i="216"/>
  <c r="X46" i="216"/>
  <c r="X63" i="216"/>
  <c r="P46" i="216"/>
  <c r="R46" i="216" s="1"/>
  <c r="P63" i="216"/>
  <c r="Q46" i="216"/>
  <c r="Q9" i="216" s="1"/>
  <c r="H46" i="216"/>
  <c r="E89" i="216"/>
  <c r="F48" i="216"/>
  <c r="F39" i="216" s="1"/>
  <c r="F40" i="216" s="1"/>
  <c r="F95" i="216" s="1"/>
  <c r="H47" i="216"/>
  <c r="I48" i="216" s="1"/>
  <c r="I39" i="216" s="1"/>
  <c r="I40" i="216" s="1"/>
  <c r="I95" i="216" s="1"/>
  <c r="E40" i="216"/>
  <c r="E95" i="216" s="1"/>
  <c r="D33" i="273"/>
  <c r="F27" i="273"/>
  <c r="F39" i="273" s="1"/>
  <c r="H27" i="273"/>
  <c r="H39" i="273" s="1"/>
  <c r="E48" i="216"/>
  <c r="E39" i="216" s="1"/>
  <c r="D48" i="216"/>
  <c r="G48" i="216"/>
  <c r="G39" i="216" s="1"/>
  <c r="G40" i="216" s="1"/>
  <c r="G95" i="216" s="1"/>
  <c r="O63" i="216"/>
  <c r="I63" i="216"/>
  <c r="F15" i="273"/>
  <c r="G15" i="273"/>
  <c r="T89" i="216"/>
  <c r="AA63" i="216"/>
  <c r="Y63" i="216"/>
  <c r="Z63" i="216"/>
  <c r="L63" i="216"/>
  <c r="L46" i="216"/>
  <c r="F24" i="273"/>
  <c r="H21" i="273"/>
  <c r="H38" i="273" s="1"/>
  <c r="H9" i="216"/>
  <c r="H26" i="273"/>
  <c r="F89" i="216"/>
  <c r="K9" i="13"/>
  <c r="R9" i="216" l="1"/>
  <c r="R47" i="216"/>
  <c r="W46" i="216"/>
  <c r="AA46" i="216"/>
  <c r="X9" i="216"/>
  <c r="X47" i="216"/>
  <c r="U46" i="216"/>
  <c r="Y46" i="216"/>
  <c r="V46" i="216"/>
  <c r="X88" i="216"/>
  <c r="Z46" i="216"/>
  <c r="I73" i="216"/>
  <c r="I75" i="216" s="1"/>
  <c r="I93" i="216" s="1"/>
  <c r="I81" i="216"/>
  <c r="I83" i="216" s="1"/>
  <c r="I94" i="216" s="1"/>
  <c r="F73" i="216"/>
  <c r="F75" i="216" s="1"/>
  <c r="F93" i="216" s="1"/>
  <c r="F81" i="216"/>
  <c r="F83" i="216" s="1"/>
  <c r="F94" i="216" s="1"/>
  <c r="F98" i="216" s="1"/>
  <c r="Q47" i="216"/>
  <c r="H89" i="216"/>
  <c r="G73" i="216"/>
  <c r="G75" i="216" s="1"/>
  <c r="G93" i="216" s="1"/>
  <c r="G81" i="216"/>
  <c r="G83" i="216" s="1"/>
  <c r="G94" i="216" s="1"/>
  <c r="H48" i="216"/>
  <c r="H39" i="216" s="1"/>
  <c r="H40" i="216" s="1"/>
  <c r="H95" i="216" s="1"/>
  <c r="I105" i="216" s="1"/>
  <c r="S46" i="216"/>
  <c r="O46" i="216"/>
  <c r="P88" i="216"/>
  <c r="P9" i="216"/>
  <c r="P47" i="216"/>
  <c r="M46" i="216"/>
  <c r="N46" i="216"/>
  <c r="T81" i="216"/>
  <c r="T83" i="216" s="1"/>
  <c r="T94" i="216" s="1"/>
  <c r="T73" i="216"/>
  <c r="T75" i="216" s="1"/>
  <c r="T93" i="216" s="1"/>
  <c r="F33" i="273"/>
  <c r="F42" i="273" s="1"/>
  <c r="H33" i="273"/>
  <c r="H42" i="273" s="1"/>
  <c r="F43" i="273"/>
  <c r="F37" i="273"/>
  <c r="F40" i="273" s="1"/>
  <c r="F44" i="273" s="1"/>
  <c r="H15" i="273"/>
  <c r="H37" i="273" s="1"/>
  <c r="H40" i="273" s="1"/>
  <c r="H44" i="273" s="1"/>
  <c r="H43" i="273"/>
  <c r="E73" i="216"/>
  <c r="E75" i="216" s="1"/>
  <c r="E93" i="216" s="1"/>
  <c r="E81" i="216"/>
  <c r="E83" i="216" s="1"/>
  <c r="E94" i="216" s="1"/>
  <c r="K46" i="216"/>
  <c r="L47" i="216"/>
  <c r="L88" i="216"/>
  <c r="L9" i="216"/>
  <c r="G13" i="13"/>
  <c r="F99" i="216" l="1"/>
  <c r="F100" i="216"/>
  <c r="N47" i="216"/>
  <c r="N9" i="216"/>
  <c r="L89" i="216"/>
  <c r="M48" i="216"/>
  <c r="M39" i="216" s="1"/>
  <c r="M40" i="216" s="1"/>
  <c r="M95" i="216" s="1"/>
  <c r="K9" i="216"/>
  <c r="K47" i="216"/>
  <c r="J46" i="216"/>
  <c r="V47" i="216"/>
  <c r="V9" i="216"/>
  <c r="X89" i="216"/>
  <c r="Y48" i="216"/>
  <c r="Y39" i="216" s="1"/>
  <c r="Y40" i="216" s="1"/>
  <c r="Y95" i="216" s="1"/>
  <c r="H103" i="216"/>
  <c r="O47" i="216"/>
  <c r="O9" i="216"/>
  <c r="H105" i="216"/>
  <c r="M88" i="216"/>
  <c r="N88" i="216"/>
  <c r="O88" i="216"/>
  <c r="J88" i="216"/>
  <c r="K88" i="216"/>
  <c r="H104" i="216"/>
  <c r="Q88" i="216"/>
  <c r="R88" i="216"/>
  <c r="S88" i="216"/>
  <c r="E98" i="216"/>
  <c r="G98" i="216"/>
  <c r="Q89" i="216"/>
  <c r="R48" i="216"/>
  <c r="R39" i="216" s="1"/>
  <c r="R40" i="216" s="1"/>
  <c r="R95" i="216" s="1"/>
  <c r="M9" i="216"/>
  <c r="M47" i="216"/>
  <c r="Q48" i="216"/>
  <c r="Q39" i="216" s="1"/>
  <c r="Q40" i="216" s="1"/>
  <c r="Q95" i="216" s="1"/>
  <c r="P89" i="216"/>
  <c r="Y9" i="216"/>
  <c r="Y47" i="216"/>
  <c r="I104" i="216"/>
  <c r="I108" i="216" s="1"/>
  <c r="AA88" i="216"/>
  <c r="Y88" i="216"/>
  <c r="Z88" i="216"/>
  <c r="V88" i="216"/>
  <c r="W88" i="216"/>
  <c r="U88" i="216"/>
  <c r="I98" i="216"/>
  <c r="S47" i="216"/>
  <c r="S9" i="216"/>
  <c r="AA47" i="216"/>
  <c r="AA9" i="216"/>
  <c r="W9" i="216"/>
  <c r="W47" i="216"/>
  <c r="I103" i="216"/>
  <c r="R89" i="216"/>
  <c r="Z47" i="216"/>
  <c r="Z9" i="216"/>
  <c r="U47" i="216"/>
  <c r="U9" i="216"/>
  <c r="H73" i="216"/>
  <c r="H75" i="216" s="1"/>
  <c r="H93" i="216" s="1"/>
  <c r="H81" i="216"/>
  <c r="H83" i="216" s="1"/>
  <c r="H94" i="216" s="1"/>
  <c r="G11" i="13"/>
  <c r="G10" i="13"/>
  <c r="F11" i="13"/>
  <c r="F13" i="13" s="1"/>
  <c r="G22" i="13"/>
  <c r="I109" i="216" l="1"/>
  <c r="I110" i="216"/>
  <c r="U89" i="216"/>
  <c r="V48" i="216"/>
  <c r="V39" i="216" s="1"/>
  <c r="V40" i="216" s="1"/>
  <c r="V95" i="216" s="1"/>
  <c r="U48" i="216"/>
  <c r="U39" i="216" s="1"/>
  <c r="U40" i="216" s="1"/>
  <c r="U95" i="216" s="1"/>
  <c r="P48" i="216"/>
  <c r="P39" i="216" s="1"/>
  <c r="P40" i="216" s="1"/>
  <c r="P95" i="216" s="1"/>
  <c r="O89" i="216"/>
  <c r="E99" i="216"/>
  <c r="E100" i="216"/>
  <c r="T48" i="216"/>
  <c r="T39" i="216" s="1"/>
  <c r="T40" i="216" s="1"/>
  <c r="T95" i="216" s="1"/>
  <c r="S89" i="216"/>
  <c r="AA48" i="216"/>
  <c r="AA39" i="216" s="1"/>
  <c r="AA40" i="216" s="1"/>
  <c r="AA95" i="216" s="1"/>
  <c r="Z89" i="216"/>
  <c r="G99" i="216"/>
  <c r="G100" i="216" s="1"/>
  <c r="J47" i="216"/>
  <c r="J9" i="216"/>
  <c r="I99" i="216"/>
  <c r="I100" i="216"/>
  <c r="S48" i="216"/>
  <c r="S39" i="216" s="1"/>
  <c r="S40" i="216" s="1"/>
  <c r="S95" i="216" s="1"/>
  <c r="U105" i="216" s="1"/>
  <c r="V89" i="216"/>
  <c r="W48" i="216"/>
  <c r="W39" i="216" s="1"/>
  <c r="W40" i="216" s="1"/>
  <c r="W95" i="216" s="1"/>
  <c r="L48" i="216"/>
  <c r="L39" i="216" s="1"/>
  <c r="L40" i="216" s="1"/>
  <c r="L95" i="216" s="1"/>
  <c r="K89" i="216"/>
  <c r="AA89" i="216"/>
  <c r="O48" i="216"/>
  <c r="O39" i="216" s="1"/>
  <c r="O40" i="216" s="1"/>
  <c r="O95" i="216" s="1"/>
  <c r="N89" i="216"/>
  <c r="X48" i="216"/>
  <c r="X39" i="216" s="1"/>
  <c r="X40" i="216" s="1"/>
  <c r="X95" i="216" s="1"/>
  <c r="W89" i="216"/>
  <c r="L73" i="216"/>
  <c r="L75" i="216" s="1"/>
  <c r="L93" i="216" s="1"/>
  <c r="L81" i="216"/>
  <c r="L83" i="216" s="1"/>
  <c r="L94" i="216" s="1"/>
  <c r="N48" i="216"/>
  <c r="N39" i="216" s="1"/>
  <c r="N40" i="216" s="1"/>
  <c r="N95" i="216" s="1"/>
  <c r="M89" i="216"/>
  <c r="Q73" i="216"/>
  <c r="Q75" i="216" s="1"/>
  <c r="Q93" i="216" s="1"/>
  <c r="Q81" i="216"/>
  <c r="Q83" i="216" s="1"/>
  <c r="Q94" i="216" s="1"/>
  <c r="Q98" i="216" s="1"/>
  <c r="R81" i="216"/>
  <c r="R83" i="216" s="1"/>
  <c r="R94" i="216" s="1"/>
  <c r="R98" i="216" s="1"/>
  <c r="R73" i="216"/>
  <c r="R75" i="216" s="1"/>
  <c r="R93" i="216" s="1"/>
  <c r="Y89" i="216"/>
  <c r="Z48" i="216"/>
  <c r="Z39" i="216" s="1"/>
  <c r="Z40" i="216" s="1"/>
  <c r="Z95" i="216" s="1"/>
  <c r="H108" i="216"/>
  <c r="X73" i="216"/>
  <c r="X75" i="216" s="1"/>
  <c r="X93" i="216" s="1"/>
  <c r="X81" i="216"/>
  <c r="X83" i="216" s="1"/>
  <c r="X94" i="216" s="1"/>
  <c r="P81" i="216"/>
  <c r="P83" i="216" s="1"/>
  <c r="P94" i="216" s="1"/>
  <c r="P73" i="216"/>
  <c r="P75" i="216" s="1"/>
  <c r="P93" i="216" s="1"/>
  <c r="H98" i="216"/>
  <c r="F24" i="13"/>
  <c r="G24" i="13"/>
  <c r="G26" i="13"/>
  <c r="R99" i="216" l="1"/>
  <c r="R100" i="216" s="1"/>
  <c r="Q99" i="216"/>
  <c r="Q100" i="216"/>
  <c r="AA81" i="216"/>
  <c r="AA83" i="216" s="1"/>
  <c r="AA94" i="216" s="1"/>
  <c r="AA73" i="216"/>
  <c r="AA75" i="216" s="1"/>
  <c r="AA93" i="216" s="1"/>
  <c r="R105" i="216"/>
  <c r="W105" i="216"/>
  <c r="T98" i="216"/>
  <c r="V73" i="216"/>
  <c r="V75" i="216" s="1"/>
  <c r="V93" i="216" s="1"/>
  <c r="Y103" i="216" s="1"/>
  <c r="V81" i="216"/>
  <c r="V83" i="216" s="1"/>
  <c r="V94" i="216" s="1"/>
  <c r="Y104" i="216" s="1"/>
  <c r="Z73" i="216"/>
  <c r="Z75" i="216" s="1"/>
  <c r="Z93" i="216" s="1"/>
  <c r="Z81" i="216"/>
  <c r="Z83" i="216" s="1"/>
  <c r="Z94" i="216" s="1"/>
  <c r="AA104" i="216" s="1"/>
  <c r="K73" i="216"/>
  <c r="K75" i="216" s="1"/>
  <c r="K93" i="216" s="1"/>
  <c r="K81" i="216"/>
  <c r="K83" i="216" s="1"/>
  <c r="K94" i="216" s="1"/>
  <c r="Y73" i="216"/>
  <c r="Y75" i="216" s="1"/>
  <c r="Y93" i="216" s="1"/>
  <c r="AA103" i="216" s="1"/>
  <c r="Y81" i="216"/>
  <c r="Y83" i="216" s="1"/>
  <c r="Y94" i="216" s="1"/>
  <c r="Y98" i="216" s="1"/>
  <c r="L98" i="216"/>
  <c r="O105" i="216"/>
  <c r="S81" i="216"/>
  <c r="S83" i="216" s="1"/>
  <c r="S94" i="216" s="1"/>
  <c r="S73" i="216"/>
  <c r="S75" i="216" s="1"/>
  <c r="S93" i="216" s="1"/>
  <c r="P105" i="216"/>
  <c r="S105" i="216"/>
  <c r="P98" i="216"/>
  <c r="U81" i="216"/>
  <c r="U83" i="216" s="1"/>
  <c r="U94" i="216" s="1"/>
  <c r="U73" i="216"/>
  <c r="U75" i="216" s="1"/>
  <c r="U93" i="216" s="1"/>
  <c r="T103" i="216"/>
  <c r="M73" i="216"/>
  <c r="M75" i="216" s="1"/>
  <c r="M93" i="216" s="1"/>
  <c r="M81" i="216"/>
  <c r="M83" i="216" s="1"/>
  <c r="M94" i="216" s="1"/>
  <c r="H99" i="216"/>
  <c r="H100" i="216"/>
  <c r="X105" i="216"/>
  <c r="Y105" i="216"/>
  <c r="W73" i="216"/>
  <c r="W75" i="216" s="1"/>
  <c r="W93" i="216" s="1"/>
  <c r="W81" i="216"/>
  <c r="W83" i="216" s="1"/>
  <c r="W94" i="216" s="1"/>
  <c r="H109" i="216"/>
  <c r="H110" i="216" s="1"/>
  <c r="Z105" i="216"/>
  <c r="W98" i="216"/>
  <c r="O81" i="216"/>
  <c r="O83" i="216" s="1"/>
  <c r="O94" i="216" s="1"/>
  <c r="R104" i="216" s="1"/>
  <c r="O73" i="216"/>
  <c r="O75" i="216" s="1"/>
  <c r="O93" i="216" s="1"/>
  <c r="R103" i="216" s="1"/>
  <c r="Q105" i="216"/>
  <c r="X98" i="216"/>
  <c r="AA105" i="216"/>
  <c r="K48" i="216"/>
  <c r="K39" i="216" s="1"/>
  <c r="K40" i="216" s="1"/>
  <c r="K95" i="216" s="1"/>
  <c r="J89" i="216"/>
  <c r="J48" i="216"/>
  <c r="J39" i="216" s="1"/>
  <c r="J40" i="216" s="1"/>
  <c r="J95" i="216" s="1"/>
  <c r="AA98" i="216"/>
  <c r="T104" i="216"/>
  <c r="V105" i="216"/>
  <c r="S98" i="216"/>
  <c r="T105" i="216"/>
  <c r="S103" i="216"/>
  <c r="N81" i="216"/>
  <c r="N83" i="216" s="1"/>
  <c r="N94" i="216" s="1"/>
  <c r="N73" i="216"/>
  <c r="N75" i="216" s="1"/>
  <c r="N93" i="216" s="1"/>
  <c r="F28" i="13"/>
  <c r="G28" i="13"/>
  <c r="N2" i="326"/>
  <c r="M27" i="326"/>
  <c r="N27" i="326"/>
  <c r="O2" i="194"/>
  <c r="K30" i="194"/>
  <c r="T108" i="216" l="1"/>
  <c r="Z98" i="216"/>
  <c r="X104" i="216"/>
  <c r="W104" i="216"/>
  <c r="X103" i="216"/>
  <c r="W103" i="216"/>
  <c r="W108" i="216" s="1"/>
  <c r="S99" i="216"/>
  <c r="S100" i="216" s="1"/>
  <c r="AA99" i="216"/>
  <c r="AA100" i="216"/>
  <c r="S108" i="216"/>
  <c r="T99" i="216"/>
  <c r="T100" i="216"/>
  <c r="U103" i="216"/>
  <c r="M105" i="216"/>
  <c r="L105" i="216"/>
  <c r="K105" i="216"/>
  <c r="J105" i="216"/>
  <c r="Z104" i="216"/>
  <c r="Z108" i="216" s="1"/>
  <c r="J73" i="216"/>
  <c r="J75" i="216" s="1"/>
  <c r="J93" i="216" s="1"/>
  <c r="J81" i="216"/>
  <c r="J83" i="216" s="1"/>
  <c r="J94" i="216" s="1"/>
  <c r="Z103" i="216"/>
  <c r="U104" i="216"/>
  <c r="O98" i="216"/>
  <c r="K98" i="216"/>
  <c r="N105" i="216"/>
  <c r="N108" i="216" s="1"/>
  <c r="V98" i="216"/>
  <c r="V103" i="216"/>
  <c r="R108" i="216"/>
  <c r="AA108" i="216"/>
  <c r="Y108" i="216"/>
  <c r="V104" i="216"/>
  <c r="V108" i="216" s="1"/>
  <c r="X99" i="216"/>
  <c r="X100" i="216"/>
  <c r="U98" i="216"/>
  <c r="W99" i="216"/>
  <c r="W100" i="216"/>
  <c r="X108" i="216"/>
  <c r="L99" i="216"/>
  <c r="L100" i="216"/>
  <c r="Q103" i="216"/>
  <c r="Q108" i="216" s="1"/>
  <c r="O103" i="216"/>
  <c r="O108" i="216" s="1"/>
  <c r="Y99" i="216"/>
  <c r="Y100" i="216"/>
  <c r="P99" i="216"/>
  <c r="P100" i="216" s="1"/>
  <c r="Q104" i="216"/>
  <c r="O104" i="216"/>
  <c r="N98" i="216"/>
  <c r="P104" i="216"/>
  <c r="P108" i="216" s="1"/>
  <c r="M98" i="216"/>
  <c r="N104" i="216"/>
  <c r="S104" i="216"/>
  <c r="P103" i="216"/>
  <c r="N103" i="216"/>
  <c r="O30" i="194"/>
  <c r="V109" i="216" l="1"/>
  <c r="V110" i="216" s="1"/>
  <c r="W109" i="216"/>
  <c r="W110" i="216" s="1"/>
  <c r="P109" i="216"/>
  <c r="P110" i="216"/>
  <c r="O109" i="216"/>
  <c r="O110" i="216"/>
  <c r="Q109" i="216"/>
  <c r="Q110" i="216"/>
  <c r="Z109" i="216"/>
  <c r="Z110" i="216"/>
  <c r="M99" i="216"/>
  <c r="M100" i="216" s="1"/>
  <c r="V99" i="216"/>
  <c r="V100" i="216"/>
  <c r="X109" i="216"/>
  <c r="X110" i="216" s="1"/>
  <c r="K99" i="216"/>
  <c r="K100" i="216"/>
  <c r="O99" i="216"/>
  <c r="O100" i="216" s="1"/>
  <c r="M104" i="216"/>
  <c r="M108" i="216" s="1"/>
  <c r="J104" i="216"/>
  <c r="L104" i="216"/>
  <c r="L108" i="216" s="1"/>
  <c r="K104" i="216"/>
  <c r="K108" i="216" s="1"/>
  <c r="U99" i="216"/>
  <c r="U100" i="216"/>
  <c r="J108" i="216"/>
  <c r="U108" i="216"/>
  <c r="M103" i="216"/>
  <c r="L103" i="216"/>
  <c r="J103" i="216"/>
  <c r="K103" i="216"/>
  <c r="N99" i="216"/>
  <c r="N100" i="216" s="1"/>
  <c r="AA109" i="216"/>
  <c r="AA110" i="216"/>
  <c r="R109" i="216"/>
  <c r="R110" i="216" s="1"/>
  <c r="Z99" i="216"/>
  <c r="Z100" i="216" s="1"/>
  <c r="N109" i="216"/>
  <c r="N110" i="216"/>
  <c r="S109" i="216"/>
  <c r="S110" i="216"/>
  <c r="Y109" i="216"/>
  <c r="Y110" i="216" s="1"/>
  <c r="J98" i="216"/>
  <c r="T109" i="216"/>
  <c r="T110" i="216"/>
  <c r="K34" i="194"/>
  <c r="K109" i="216" l="1"/>
  <c r="K110" i="216"/>
  <c r="M109" i="216"/>
  <c r="M110" i="216"/>
  <c r="L109" i="216"/>
  <c r="L110" i="216"/>
  <c r="J109" i="216"/>
  <c r="J110" i="216"/>
  <c r="U109" i="216"/>
  <c r="U110" i="216" s="1"/>
  <c r="J99" i="216"/>
  <c r="J100" i="216"/>
  <c r="K32" i="194"/>
  <c r="K31" i="194" s="1"/>
  <c r="O34" i="194"/>
  <c r="O32" i="194"/>
  <c r="O31" i="194" s="1"/>
  <c r="K43" i="194"/>
  <c r="O43" i="194"/>
  <c r="K45" i="194"/>
  <c r="O45" i="194"/>
  <c r="AX2" i="1"/>
  <c r="E7" i="1"/>
  <c r="F7" i="1"/>
  <c r="G7" i="1"/>
  <c r="H7" i="1"/>
  <c r="I7" i="1"/>
  <c r="J7" i="1"/>
  <c r="K7" i="1"/>
  <c r="L7" i="1"/>
  <c r="M7" i="1"/>
  <c r="N7" i="1"/>
  <c r="O7" i="1"/>
  <c r="P7" i="1"/>
  <c r="Q7" i="1"/>
  <c r="R7" i="1"/>
  <c r="S7" i="1"/>
  <c r="T7" i="1"/>
  <c r="U7" i="1"/>
  <c r="V7" i="1"/>
  <c r="W7" i="1"/>
  <c r="X7" i="1"/>
  <c r="Y7" i="1"/>
  <c r="Z7" i="1"/>
  <c r="AA7" i="1"/>
  <c r="AB7" i="1"/>
  <c r="AC7" i="1"/>
  <c r="AD7" i="1"/>
  <c r="AE7" i="1"/>
  <c r="AF7" i="1"/>
  <c r="AG7" i="1"/>
  <c r="AH7" i="1"/>
  <c r="AI7" i="1"/>
  <c r="AJ7" i="1"/>
  <c r="AK7" i="1"/>
  <c r="AL7" i="1"/>
  <c r="AM7" i="1"/>
  <c r="AP7" i="1"/>
  <c r="AQ7" i="1"/>
  <c r="AR7" i="1"/>
  <c r="AS7" i="1"/>
  <c r="AT7" i="1"/>
  <c r="AU7" i="1"/>
  <c r="AV7" i="1"/>
  <c r="AW7" i="1"/>
  <c r="AX7" i="1"/>
  <c r="H126" i="1"/>
  <c r="H128" i="1" s="1"/>
  <c r="H14" i="1" s="1"/>
  <c r="H12" i="1"/>
  <c r="I126" i="1"/>
  <c r="I128" i="1" s="1"/>
  <c r="I14" i="1" s="1"/>
  <c r="I28" i="1" s="1"/>
  <c r="I12" i="1"/>
  <c r="J126" i="1"/>
  <c r="J12" i="1" s="1"/>
  <c r="K126" i="1"/>
  <c r="K12" i="1"/>
  <c r="L126" i="1"/>
  <c r="L12" i="1"/>
  <c r="M126" i="1"/>
  <c r="M12" i="1"/>
  <c r="N126" i="1"/>
  <c r="N12" i="1" s="1"/>
  <c r="O126" i="1"/>
  <c r="O12" i="1"/>
  <c r="P126" i="1"/>
  <c r="P128" i="1" s="1"/>
  <c r="P14" i="1" s="1"/>
  <c r="P12" i="1"/>
  <c r="Q126" i="1"/>
  <c r="Q128" i="1" s="1"/>
  <c r="Q14" i="1" s="1"/>
  <c r="Q12" i="1"/>
  <c r="R126" i="1"/>
  <c r="R12" i="1" s="1"/>
  <c r="S126" i="1"/>
  <c r="S12" i="1"/>
  <c r="T126" i="1"/>
  <c r="T12" i="1"/>
  <c r="D20" i="56" s="1"/>
  <c r="U126" i="1"/>
  <c r="U12" i="1"/>
  <c r="E20" i="56" s="1"/>
  <c r="E21" i="56" s="1"/>
  <c r="V126" i="1"/>
  <c r="V12" i="1" s="1"/>
  <c r="W126" i="1"/>
  <c r="W12" i="1"/>
  <c r="G20" i="56" s="1"/>
  <c r="X126" i="1"/>
  <c r="X128" i="1" s="1"/>
  <c r="X14" i="1" s="1"/>
  <c r="X12" i="1"/>
  <c r="Y126" i="1"/>
  <c r="Y128" i="1" s="1"/>
  <c r="Y14" i="1" s="1"/>
  <c r="Y12" i="1"/>
  <c r="Z126" i="1"/>
  <c r="Z12" i="1" s="1"/>
  <c r="AA126" i="1"/>
  <c r="AA12" i="1"/>
  <c r="K20" i="56" s="1"/>
  <c r="AB126" i="1"/>
  <c r="AB12" i="1"/>
  <c r="AC126" i="1"/>
  <c r="AC12" i="1"/>
  <c r="AD126" i="1"/>
  <c r="AD12" i="1" s="1"/>
  <c r="AE126" i="1"/>
  <c r="AE12" i="1"/>
  <c r="AF126" i="1"/>
  <c r="AF128" i="1" s="1"/>
  <c r="AF14" i="1" s="1"/>
  <c r="AF12" i="1"/>
  <c r="AG126" i="1"/>
  <c r="AG128" i="1" s="1"/>
  <c r="AG14" i="1" s="1"/>
  <c r="AG12" i="1"/>
  <c r="AH126" i="1"/>
  <c r="AH12" i="1" s="1"/>
  <c r="AD224" i="1"/>
  <c r="AH224" i="1"/>
  <c r="AH170" i="1"/>
  <c r="AH223" i="1"/>
  <c r="AH129" i="1"/>
  <c r="AH203" i="1"/>
  <c r="AI223" i="1"/>
  <c r="AI203" i="1"/>
  <c r="AI129" i="1" s="1"/>
  <c r="AI15" i="1" s="1"/>
  <c r="AE224" i="1"/>
  <c r="AI224" i="1"/>
  <c r="AI170" i="1"/>
  <c r="AF223" i="1"/>
  <c r="AJ223" i="1"/>
  <c r="AJ245" i="1" s="1"/>
  <c r="AJ203" i="1"/>
  <c r="AJ129" i="1"/>
  <c r="AJ15" i="1" s="1"/>
  <c r="AB224" i="1"/>
  <c r="AF224" i="1"/>
  <c r="AJ224" i="1"/>
  <c r="AJ170" i="1"/>
  <c r="AG223" i="1"/>
  <c r="AK223" i="1"/>
  <c r="AK203" i="1"/>
  <c r="AK129" i="1"/>
  <c r="AK15" i="1" s="1"/>
  <c r="AC224" i="1"/>
  <c r="AG224" i="1"/>
  <c r="AK224" i="1"/>
  <c r="AK170" i="1"/>
  <c r="AL223" i="1"/>
  <c r="AL203" i="1"/>
  <c r="AL129" i="1"/>
  <c r="AL15" i="1" s="1"/>
  <c r="AL29" i="1" s="1"/>
  <c r="AL224" i="1"/>
  <c r="AM203" i="1"/>
  <c r="AM129" i="1" s="1"/>
  <c r="AM224" i="1"/>
  <c r="AM170" i="1"/>
  <c r="AO126" i="1"/>
  <c r="AO12" i="1"/>
  <c r="AP126" i="1"/>
  <c r="AP12" i="1"/>
  <c r="AQ126" i="1"/>
  <c r="AQ12" i="1"/>
  <c r="AR126" i="1"/>
  <c r="AR12" i="1" s="1"/>
  <c r="AR19" i="1" s="1"/>
  <c r="AS126" i="1"/>
  <c r="AS12" i="1"/>
  <c r="AS19" i="1" s="1"/>
  <c r="AT126" i="1"/>
  <c r="AT12" i="1"/>
  <c r="AT19" i="1" s="1"/>
  <c r="AU126" i="1"/>
  <c r="AU12" i="1"/>
  <c r="AV556" i="1"/>
  <c r="AV126" i="1" s="1"/>
  <c r="H127" i="1"/>
  <c r="H13" i="1"/>
  <c r="I127" i="1"/>
  <c r="I13" i="1" s="1"/>
  <c r="I27" i="1" s="1"/>
  <c r="J127" i="1"/>
  <c r="J13" i="1"/>
  <c r="K127" i="1"/>
  <c r="K128" i="1" s="1"/>
  <c r="K14" i="1" s="1"/>
  <c r="K13" i="1"/>
  <c r="L127" i="1"/>
  <c r="L128" i="1" s="1"/>
  <c r="L14" i="1" s="1"/>
  <c r="L13" i="1"/>
  <c r="L20" i="1" s="1"/>
  <c r="M127" i="1"/>
  <c r="M13" i="1" s="1"/>
  <c r="N127" i="1"/>
  <c r="N13" i="1"/>
  <c r="O127" i="1"/>
  <c r="O13" i="1"/>
  <c r="P127" i="1"/>
  <c r="P13" i="1"/>
  <c r="Q127" i="1"/>
  <c r="Q13" i="1" s="1"/>
  <c r="R127" i="1"/>
  <c r="R13" i="1"/>
  <c r="V20" i="1" s="1"/>
  <c r="S127" i="1"/>
  <c r="S128" i="1" s="1"/>
  <c r="S14" i="1" s="1"/>
  <c r="S13" i="1"/>
  <c r="T127" i="1"/>
  <c r="T128" i="1" s="1"/>
  <c r="T14" i="1" s="1"/>
  <c r="T13" i="1"/>
  <c r="U127" i="1"/>
  <c r="U13" i="1" s="1"/>
  <c r="V127" i="1"/>
  <c r="V13" i="1"/>
  <c r="W127" i="1"/>
  <c r="W13" i="1"/>
  <c r="X127" i="1"/>
  <c r="X13" i="1"/>
  <c r="Y127" i="1"/>
  <c r="Y13" i="1" s="1"/>
  <c r="Z127" i="1"/>
  <c r="Z13" i="1"/>
  <c r="AA127" i="1"/>
  <c r="AA128" i="1" s="1"/>
  <c r="AA14" i="1" s="1"/>
  <c r="AA13" i="1"/>
  <c r="AB127" i="1"/>
  <c r="AB128" i="1" s="1"/>
  <c r="AB14" i="1" s="1"/>
  <c r="AB13" i="1"/>
  <c r="AC127" i="1"/>
  <c r="AC13" i="1" s="1"/>
  <c r="AD127" i="1"/>
  <c r="AD13" i="1"/>
  <c r="AE127" i="1"/>
  <c r="AE13" i="1"/>
  <c r="G12" i="194" s="1"/>
  <c r="G31" i="194" s="1"/>
  <c r="K38" i="194" s="1"/>
  <c r="AF127" i="1"/>
  <c r="AF13" i="1"/>
  <c r="H12" i="194" s="1"/>
  <c r="AG127" i="1"/>
  <c r="AG13" i="1" s="1"/>
  <c r="AH127" i="1"/>
  <c r="AH13" i="1"/>
  <c r="AH201" i="1"/>
  <c r="AH171" i="1"/>
  <c r="AI298" i="1"/>
  <c r="AI171" i="1"/>
  <c r="AI313" i="1"/>
  <c r="AJ298" i="1"/>
  <c r="AK298" i="1" s="1"/>
  <c r="AJ171" i="1"/>
  <c r="AJ172" i="1" s="1"/>
  <c r="AJ387" i="1" s="1"/>
  <c r="AJ409" i="1" s="1"/>
  <c r="AJ313" i="1"/>
  <c r="AK313" i="1" s="1"/>
  <c r="AO127" i="1"/>
  <c r="AO128" i="1" s="1"/>
  <c r="AO14" i="1" s="1"/>
  <c r="AO13" i="1"/>
  <c r="AP127" i="1"/>
  <c r="AP13" i="1" s="1"/>
  <c r="AQ127" i="1"/>
  <c r="AQ13" i="1"/>
  <c r="AR127" i="1"/>
  <c r="AR13" i="1"/>
  <c r="AS127" i="1"/>
  <c r="AS13" i="1"/>
  <c r="AT127" i="1"/>
  <c r="AT13" i="1" s="1"/>
  <c r="AT20" i="1" s="1"/>
  <c r="AU127" i="1"/>
  <c r="AU13" i="1"/>
  <c r="AU20" i="1" s="1"/>
  <c r="AV557" i="1"/>
  <c r="AV127" i="1"/>
  <c r="AV13" i="1" s="1"/>
  <c r="M128" i="1"/>
  <c r="M14" i="1"/>
  <c r="M21" i="1" s="1"/>
  <c r="N128" i="1"/>
  <c r="N14" i="1"/>
  <c r="O128" i="1"/>
  <c r="O14" i="1" s="1"/>
  <c r="U128" i="1"/>
  <c r="U14" i="1"/>
  <c r="V128" i="1"/>
  <c r="V14" i="1"/>
  <c r="W128" i="1"/>
  <c r="W14" i="1" s="1"/>
  <c r="AC128" i="1"/>
  <c r="AC14" i="1"/>
  <c r="AD128" i="1"/>
  <c r="AD14" i="1"/>
  <c r="AE128" i="1"/>
  <c r="AE14" i="1" s="1"/>
  <c r="AQ128" i="1"/>
  <c r="AQ14" i="1"/>
  <c r="AR128" i="1"/>
  <c r="AR14" i="1" s="1"/>
  <c r="AR21" i="1" s="1"/>
  <c r="AS128" i="1"/>
  <c r="AS14" i="1"/>
  <c r="AT128" i="1"/>
  <c r="AT14" i="1"/>
  <c r="AT21" i="1" s="1"/>
  <c r="AU128" i="1"/>
  <c r="AU14" i="1"/>
  <c r="H129" i="1"/>
  <c r="H15" i="1"/>
  <c r="I129" i="1"/>
  <c r="I15" i="1"/>
  <c r="J129" i="1"/>
  <c r="J15" i="1" s="1"/>
  <c r="K129" i="1"/>
  <c r="K15" i="1"/>
  <c r="L129" i="1"/>
  <c r="L15" i="1"/>
  <c r="M129" i="1"/>
  <c r="M15" i="1"/>
  <c r="N129" i="1"/>
  <c r="N15" i="1" s="1"/>
  <c r="O129" i="1"/>
  <c r="O15" i="1" s="1"/>
  <c r="P129" i="1"/>
  <c r="P15" i="1"/>
  <c r="Q129" i="1"/>
  <c r="Q15" i="1"/>
  <c r="R129" i="1"/>
  <c r="R15" i="1" s="1"/>
  <c r="S129" i="1"/>
  <c r="S15" i="1"/>
  <c r="S29" i="1" s="1"/>
  <c r="T129" i="1"/>
  <c r="T15" i="1"/>
  <c r="U129" i="1"/>
  <c r="U15" i="1"/>
  <c r="V129" i="1"/>
  <c r="V15" i="1" s="1"/>
  <c r="W129" i="1"/>
  <c r="W15" i="1" s="1"/>
  <c r="X129" i="1"/>
  <c r="X15" i="1"/>
  <c r="Y129" i="1"/>
  <c r="Y15" i="1"/>
  <c r="Z129" i="1"/>
  <c r="Z15" i="1" s="1"/>
  <c r="AA129" i="1"/>
  <c r="AA15" i="1"/>
  <c r="AA22" i="1" s="1"/>
  <c r="AB129" i="1"/>
  <c r="AB15" i="1"/>
  <c r="AC129" i="1"/>
  <c r="AC15" i="1"/>
  <c r="AD129" i="1"/>
  <c r="AD15" i="1" s="1"/>
  <c r="AE129" i="1"/>
  <c r="AE15" i="1" s="1"/>
  <c r="AF129" i="1"/>
  <c r="AF15" i="1"/>
  <c r="H14" i="194" s="1"/>
  <c r="AG129" i="1"/>
  <c r="AG15" i="1"/>
  <c r="I14" i="194" s="1"/>
  <c r="AH15" i="1"/>
  <c r="AM15" i="1"/>
  <c r="AO129" i="1"/>
  <c r="AO15" i="1"/>
  <c r="AP129" i="1"/>
  <c r="AP15" i="1" s="1"/>
  <c r="AQ129" i="1"/>
  <c r="AQ15" i="1" s="1"/>
  <c r="AQ22" i="1" s="1"/>
  <c r="AR129" i="1"/>
  <c r="AR15" i="1"/>
  <c r="AR22" i="1" s="1"/>
  <c r="AS129" i="1"/>
  <c r="AS15" i="1"/>
  <c r="AS22" i="1" s="1"/>
  <c r="AT129" i="1"/>
  <c r="AT15" i="1" s="1"/>
  <c r="AT22" i="1" s="1"/>
  <c r="AU129" i="1"/>
  <c r="AU15" i="1"/>
  <c r="AV558" i="1"/>
  <c r="AV129" i="1"/>
  <c r="AV15" i="1" s="1"/>
  <c r="H559" i="1"/>
  <c r="H16" i="1"/>
  <c r="I559" i="1"/>
  <c r="I16" i="1" s="1"/>
  <c r="J559" i="1"/>
  <c r="J16" i="1" s="1"/>
  <c r="K559" i="1"/>
  <c r="K16" i="1"/>
  <c r="L559" i="1"/>
  <c r="L16" i="1" s="1"/>
  <c r="M559" i="1"/>
  <c r="M16" i="1"/>
  <c r="N559" i="1"/>
  <c r="O559" i="1"/>
  <c r="P559" i="1"/>
  <c r="P16" i="1" s="1"/>
  <c r="Q559" i="1"/>
  <c r="Q16" i="1" s="1"/>
  <c r="R559" i="1"/>
  <c r="R16" i="1" s="1"/>
  <c r="S559" i="1"/>
  <c r="S16" i="1"/>
  <c r="S30" i="1" s="1"/>
  <c r="T559" i="1"/>
  <c r="T16" i="1" s="1"/>
  <c r="U559" i="1"/>
  <c r="U16" i="1"/>
  <c r="V559" i="1"/>
  <c r="W559" i="1"/>
  <c r="X559" i="1"/>
  <c r="X16" i="1" s="1"/>
  <c r="Y559" i="1"/>
  <c r="Y16" i="1" s="1"/>
  <c r="Z559" i="1"/>
  <c r="Z16" i="1" s="1"/>
  <c r="AA559" i="1"/>
  <c r="AA16" i="1"/>
  <c r="AB559" i="1"/>
  <c r="AB16" i="1" s="1"/>
  <c r="AC559" i="1"/>
  <c r="AC16" i="1"/>
  <c r="AD559" i="1"/>
  <c r="AE559" i="1"/>
  <c r="AF559" i="1"/>
  <c r="AF16" i="1"/>
  <c r="AG559" i="1"/>
  <c r="AG16" i="1" s="1"/>
  <c r="AH559" i="1"/>
  <c r="AH16" i="1" s="1"/>
  <c r="AO559" i="1"/>
  <c r="AO16" i="1" s="1"/>
  <c r="AP559" i="1"/>
  <c r="AP16" i="1" s="1"/>
  <c r="AQ559" i="1"/>
  <c r="AQ16" i="1" s="1"/>
  <c r="AQ23" i="1" s="1"/>
  <c r="AR559" i="1"/>
  <c r="AR16" i="1"/>
  <c r="AR23" i="1" s="1"/>
  <c r="AS559" i="1"/>
  <c r="AS16" i="1" s="1"/>
  <c r="AS23" i="1" s="1"/>
  <c r="AT559" i="1"/>
  <c r="AT16" i="1"/>
  <c r="AU559" i="1"/>
  <c r="AU16" i="1" s="1"/>
  <c r="AU23" i="1" s="1"/>
  <c r="AV559" i="1"/>
  <c r="AV16" i="1" s="1"/>
  <c r="AV23" i="1" s="1"/>
  <c r="O19" i="1"/>
  <c r="S19" i="1"/>
  <c r="U19" i="1"/>
  <c r="H31" i="220" s="1"/>
  <c r="W19" i="1"/>
  <c r="J31" i="220" s="1"/>
  <c r="AE19" i="1"/>
  <c r="R31" i="220" s="1"/>
  <c r="AP19" i="1"/>
  <c r="AQ19" i="1"/>
  <c r="N20" i="1"/>
  <c r="P20" i="1"/>
  <c r="R20" i="1"/>
  <c r="Z20" i="1"/>
  <c r="AD20" i="1"/>
  <c r="AH20" i="1"/>
  <c r="AR20" i="1"/>
  <c r="AS20" i="1"/>
  <c r="AC21" i="1"/>
  <c r="AS21" i="1"/>
  <c r="AU21" i="1"/>
  <c r="V22" i="1"/>
  <c r="AP22" i="1"/>
  <c r="Q23" i="1"/>
  <c r="K26" i="1"/>
  <c r="L26" i="1"/>
  <c r="M26" i="1"/>
  <c r="T26" i="1"/>
  <c r="U26" i="1"/>
  <c r="AA26" i="1"/>
  <c r="AB26" i="1"/>
  <c r="AC26" i="1"/>
  <c r="J27" i="1"/>
  <c r="L27" i="1"/>
  <c r="O27" i="1"/>
  <c r="P27" i="1"/>
  <c r="W27" i="1"/>
  <c r="X27" i="1"/>
  <c r="Z27" i="1"/>
  <c r="AE27" i="1"/>
  <c r="AF27" i="1"/>
  <c r="M28" i="1"/>
  <c r="AC28" i="1"/>
  <c r="I29" i="1"/>
  <c r="L29" i="1"/>
  <c r="N29" i="1"/>
  <c r="Q29" i="1"/>
  <c r="Y29" i="1"/>
  <c r="AG29" i="1"/>
  <c r="I227" i="1"/>
  <c r="L247" i="1"/>
  <c r="L33" i="1" s="1"/>
  <c r="M247" i="1"/>
  <c r="M33" i="1" s="1"/>
  <c r="N247" i="1"/>
  <c r="O247" i="1"/>
  <c r="O33" i="1" s="1"/>
  <c r="P247" i="1"/>
  <c r="P33" i="1"/>
  <c r="Q247" i="1"/>
  <c r="R247" i="1"/>
  <c r="S247" i="1"/>
  <c r="S33" i="1"/>
  <c r="T247" i="1"/>
  <c r="U247" i="1"/>
  <c r="V247" i="1"/>
  <c r="W247" i="1"/>
  <c r="W33" i="1" s="1"/>
  <c r="X247" i="1"/>
  <c r="X33" i="1"/>
  <c r="Y247" i="1"/>
  <c r="Y33" i="1" s="1"/>
  <c r="Z247" i="1"/>
  <c r="AA247" i="1"/>
  <c r="AA33" i="1"/>
  <c r="AB247" i="1"/>
  <c r="E9" i="326" s="1"/>
  <c r="AC247" i="1"/>
  <c r="F9" i="326" s="1"/>
  <c r="AD247" i="1"/>
  <c r="G9" i="326" s="1"/>
  <c r="AE247" i="1"/>
  <c r="H9" i="326" s="1"/>
  <c r="AF245" i="1"/>
  <c r="AF246" i="1"/>
  <c r="AF247" i="1"/>
  <c r="AG245" i="1"/>
  <c r="AG247" i="1" s="1"/>
  <c r="AG246" i="1"/>
  <c r="AH245" i="1"/>
  <c r="AH246" i="1"/>
  <c r="AH247" i="1"/>
  <c r="K9" i="326" s="1"/>
  <c r="AI246" i="1"/>
  <c r="AJ246" i="1"/>
  <c r="AJ247" i="1"/>
  <c r="AJ33" i="1" s="1"/>
  <c r="AK245" i="1"/>
  <c r="AK247" i="1" s="1"/>
  <c r="AK33" i="1" s="1"/>
  <c r="AK246" i="1"/>
  <c r="AL245" i="1"/>
  <c r="AM246" i="1"/>
  <c r="AO226" i="1"/>
  <c r="AO225" i="1"/>
  <c r="AO223" i="1"/>
  <c r="AO245" i="1" s="1"/>
  <c r="AO247" i="1" s="1"/>
  <c r="D226" i="1"/>
  <c r="D225" i="1"/>
  <c r="D223" i="1"/>
  <c r="D245" i="1" s="1"/>
  <c r="D247" i="1" s="1"/>
  <c r="AR247" i="1"/>
  <c r="AR33" i="1" s="1"/>
  <c r="AT247" i="1"/>
  <c r="AT33" i="1" s="1"/>
  <c r="S36" i="1"/>
  <c r="AA36" i="1"/>
  <c r="H564" i="1"/>
  <c r="H566" i="1"/>
  <c r="H40" i="1" s="1"/>
  <c r="H42" i="1" s="1"/>
  <c r="I566" i="1"/>
  <c r="I40" i="1"/>
  <c r="J566" i="1"/>
  <c r="J40" i="1" s="1"/>
  <c r="K566" i="1"/>
  <c r="K40" i="1" s="1"/>
  <c r="L566" i="1"/>
  <c r="L40" i="1" s="1"/>
  <c r="L42" i="1" s="1"/>
  <c r="M566" i="1"/>
  <c r="M40" i="1" s="1"/>
  <c r="P566" i="1"/>
  <c r="P40" i="1" s="1"/>
  <c r="P41" i="1" s="1"/>
  <c r="Q566" i="1"/>
  <c r="Q40" i="1"/>
  <c r="Q41" i="1" s="1"/>
  <c r="R566" i="1"/>
  <c r="R40" i="1" s="1"/>
  <c r="S566" i="1"/>
  <c r="S40" i="1" s="1"/>
  <c r="T566" i="1"/>
  <c r="T40" i="1" s="1"/>
  <c r="U566" i="1"/>
  <c r="U40" i="1" s="1"/>
  <c r="X566" i="1"/>
  <c r="X40" i="1" s="1"/>
  <c r="X42" i="1" s="1"/>
  <c r="Y566" i="1"/>
  <c r="Y40" i="1"/>
  <c r="Y42" i="1" s="1"/>
  <c r="Z566" i="1"/>
  <c r="Z40" i="1" s="1"/>
  <c r="AA566" i="1"/>
  <c r="AA40" i="1" s="1"/>
  <c r="AB566" i="1"/>
  <c r="AB40" i="1" s="1"/>
  <c r="AC566" i="1"/>
  <c r="AC40" i="1" s="1"/>
  <c r="AF566" i="1"/>
  <c r="AF40" i="1" s="1"/>
  <c r="AF41" i="1" s="1"/>
  <c r="AG566" i="1"/>
  <c r="AG40" i="1"/>
  <c r="AG41" i="1" s="1"/>
  <c r="AH566" i="1"/>
  <c r="AH40" i="1" s="1"/>
  <c r="AE200" i="1"/>
  <c r="AE170" i="1"/>
  <c r="AA200" i="1"/>
  <c r="AA224" i="1"/>
  <c r="AA170" i="1"/>
  <c r="W200" i="1"/>
  <c r="W224" i="1"/>
  <c r="W171" i="1" s="1"/>
  <c r="W170" i="1"/>
  <c r="S200" i="1"/>
  <c r="S224" i="1"/>
  <c r="S170" i="1" s="1"/>
  <c r="O200" i="1"/>
  <c r="O170" i="1"/>
  <c r="O201" i="1"/>
  <c r="O171" i="1"/>
  <c r="K201" i="1"/>
  <c r="K171" i="1"/>
  <c r="AE201" i="1"/>
  <c r="AE171" i="1"/>
  <c r="AA201" i="1"/>
  <c r="AA171" i="1"/>
  <c r="W201" i="1"/>
  <c r="S201" i="1"/>
  <c r="S171" i="1"/>
  <c r="AI172" i="1"/>
  <c r="AI387" i="1" s="1"/>
  <c r="AI409" i="1" s="1"/>
  <c r="AF200" i="1"/>
  <c r="AF170" i="1"/>
  <c r="AB200" i="1"/>
  <c r="AB170" i="1"/>
  <c r="X200" i="1"/>
  <c r="X224" i="1"/>
  <c r="T200" i="1"/>
  <c r="T224" i="1"/>
  <c r="T170" i="1" s="1"/>
  <c r="P200" i="1"/>
  <c r="P170" i="1"/>
  <c r="P201" i="1"/>
  <c r="P171" i="1"/>
  <c r="L201" i="1"/>
  <c r="L171" i="1"/>
  <c r="H201" i="1"/>
  <c r="H171" i="1"/>
  <c r="AF201" i="1"/>
  <c r="AF171" i="1"/>
  <c r="AB201" i="1"/>
  <c r="AB171" i="1"/>
  <c r="X201" i="1"/>
  <c r="T201" i="1"/>
  <c r="AG200" i="1"/>
  <c r="AG170" i="1"/>
  <c r="AC200" i="1"/>
  <c r="AC170" i="1"/>
  <c r="Y200" i="1"/>
  <c r="Y224" i="1"/>
  <c r="Y171" i="1" s="1"/>
  <c r="Y170" i="1"/>
  <c r="U200" i="1"/>
  <c r="U224" i="1"/>
  <c r="U170" i="1" s="1"/>
  <c r="Q200" i="1"/>
  <c r="Q170" i="1"/>
  <c r="Q412" i="1"/>
  <c r="Q410" i="1"/>
  <c r="Q408" i="1" s="1"/>
  <c r="Q406" i="1" s="1"/>
  <c r="Q201" i="1"/>
  <c r="Q171" i="1"/>
  <c r="M201" i="1"/>
  <c r="M171" i="1"/>
  <c r="I201" i="1"/>
  <c r="I171" i="1"/>
  <c r="AG201" i="1"/>
  <c r="AG171" i="1"/>
  <c r="AC201" i="1"/>
  <c r="AC171" i="1"/>
  <c r="Y201" i="1"/>
  <c r="U201" i="1"/>
  <c r="U171" i="1"/>
  <c r="AD200" i="1"/>
  <c r="AD170" i="1"/>
  <c r="Z200" i="1"/>
  <c r="Z224" i="1"/>
  <c r="Z171" i="1" s="1"/>
  <c r="Z170" i="1"/>
  <c r="V200" i="1"/>
  <c r="V224" i="1"/>
  <c r="V170" i="1"/>
  <c r="R200" i="1"/>
  <c r="R170" i="1"/>
  <c r="R412" i="1"/>
  <c r="R410" i="1"/>
  <c r="R408" i="1"/>
  <c r="R203" i="1"/>
  <c r="R152" i="1" s="1"/>
  <c r="R385" i="1" s="1"/>
  <c r="R407" i="1" s="1"/>
  <c r="R406" i="1" s="1"/>
  <c r="R201" i="1"/>
  <c r="R171" i="1"/>
  <c r="N201" i="1"/>
  <c r="N171" i="1"/>
  <c r="J201" i="1"/>
  <c r="J171" i="1"/>
  <c r="AD201" i="1"/>
  <c r="AD171" i="1"/>
  <c r="Z201" i="1"/>
  <c r="V201" i="1"/>
  <c r="V171" i="1"/>
  <c r="AO564" i="1"/>
  <c r="AO566" i="1"/>
  <c r="AO40" i="1" s="1"/>
  <c r="AP564" i="1"/>
  <c r="AP566" i="1"/>
  <c r="AP40" i="1" s="1"/>
  <c r="AP42" i="1" s="1"/>
  <c r="AQ564" i="1"/>
  <c r="AQ566" i="1" s="1"/>
  <c r="AQ40" i="1" s="1"/>
  <c r="AR564" i="1"/>
  <c r="AR566" i="1"/>
  <c r="AR40" i="1" s="1"/>
  <c r="AS564" i="1"/>
  <c r="AS566" i="1" s="1"/>
  <c r="AS40" i="1" s="1"/>
  <c r="AT564" i="1"/>
  <c r="AT566" i="1"/>
  <c r="AT40" i="1"/>
  <c r="AU564" i="1"/>
  <c r="AU566" i="1" s="1"/>
  <c r="AU40" i="1" s="1"/>
  <c r="AV603" i="1"/>
  <c r="L41" i="1"/>
  <c r="M41" i="1"/>
  <c r="T41" i="1"/>
  <c r="X41" i="1"/>
  <c r="AB41" i="1"/>
  <c r="AC41" i="1"/>
  <c r="I42" i="1"/>
  <c r="J42" i="1"/>
  <c r="K42" i="1"/>
  <c r="M42" i="1"/>
  <c r="Q42" i="1"/>
  <c r="R42" i="1"/>
  <c r="S42" i="1"/>
  <c r="T42" i="1"/>
  <c r="Z42" i="1"/>
  <c r="AA42" i="1"/>
  <c r="AC42" i="1"/>
  <c r="AF42" i="1"/>
  <c r="AG42" i="1"/>
  <c r="AH42" i="1"/>
  <c r="AT42" i="1"/>
  <c r="H44" i="1"/>
  <c r="L50" i="1" s="1"/>
  <c r="I44" i="1"/>
  <c r="J44" i="1"/>
  <c r="N50" i="1" s="1"/>
  <c r="K44" i="1"/>
  <c r="L44" i="1"/>
  <c r="P50" i="1" s="1"/>
  <c r="M44" i="1"/>
  <c r="N44" i="1"/>
  <c r="O44" i="1"/>
  <c r="P44" i="1"/>
  <c r="Q44" i="1"/>
  <c r="R44" i="1"/>
  <c r="S44" i="1"/>
  <c r="S47" i="1" s="1"/>
  <c r="T44" i="1"/>
  <c r="T47" i="1" s="1"/>
  <c r="U44" i="1"/>
  <c r="U56" i="1" s="1"/>
  <c r="V44" i="1"/>
  <c r="W44" i="1"/>
  <c r="X44" i="1"/>
  <c r="AB50" i="1" s="1"/>
  <c r="Y44" i="1"/>
  <c r="Z44" i="1"/>
  <c r="AD50" i="1" s="1"/>
  <c r="AA44" i="1"/>
  <c r="AB44" i="1"/>
  <c r="AF50" i="1" s="1"/>
  <c r="AC44" i="1"/>
  <c r="AD44" i="1"/>
  <c r="AE44" i="1"/>
  <c r="AF44" i="1"/>
  <c r="AG44" i="1"/>
  <c r="AH44" i="1"/>
  <c r="X450" i="1"/>
  <c r="X448" i="1" s="1"/>
  <c r="AB448" i="1" s="1"/>
  <c r="AF448" i="1" s="1"/>
  <c r="AJ448" i="1" s="1"/>
  <c r="V450" i="1"/>
  <c r="V448" i="1" s="1"/>
  <c r="Z448" i="1"/>
  <c r="AD448" i="1" s="1"/>
  <c r="AH448" i="1" s="1"/>
  <c r="AL448" i="1" s="1"/>
  <c r="AO44" i="1"/>
  <c r="AO47" i="1" s="1"/>
  <c r="AO59" i="1" s="1"/>
  <c r="AP44" i="1"/>
  <c r="AP47" i="1" s="1"/>
  <c r="AQ44" i="1"/>
  <c r="AQ56" i="1" s="1"/>
  <c r="AR44" i="1"/>
  <c r="AR56" i="1" s="1"/>
  <c r="AS44" i="1"/>
  <c r="AS56" i="1" s="1"/>
  <c r="AT44" i="1"/>
  <c r="AU44" i="1"/>
  <c r="AU50" i="1" s="1"/>
  <c r="AV568" i="1"/>
  <c r="AV44" i="1" s="1"/>
  <c r="AV604" i="1"/>
  <c r="H45" i="1"/>
  <c r="I45" i="1"/>
  <c r="J45" i="1"/>
  <c r="K45" i="1"/>
  <c r="L45" i="1"/>
  <c r="L57" i="1" s="1"/>
  <c r="M45" i="1"/>
  <c r="M57" i="1" s="1"/>
  <c r="N45" i="1"/>
  <c r="O45" i="1"/>
  <c r="O51" i="1" s="1"/>
  <c r="P45" i="1"/>
  <c r="P57" i="1" s="1"/>
  <c r="Q45" i="1"/>
  <c r="R45" i="1"/>
  <c r="S45" i="1"/>
  <c r="T45" i="1"/>
  <c r="U45" i="1"/>
  <c r="V45" i="1"/>
  <c r="W45" i="1"/>
  <c r="X45" i="1"/>
  <c r="X51" i="1" s="1"/>
  <c r="Y45" i="1"/>
  <c r="Y51" i="1" s="1"/>
  <c r="Z45" i="1"/>
  <c r="AA45" i="1"/>
  <c r="AB45" i="1"/>
  <c r="AB57" i="1" s="1"/>
  <c r="AC45" i="1"/>
  <c r="AC57" i="1" s="1"/>
  <c r="AD45" i="1"/>
  <c r="AE45" i="1"/>
  <c r="AE51" i="1" s="1"/>
  <c r="AF45" i="1"/>
  <c r="AG45" i="1"/>
  <c r="AH45" i="1"/>
  <c r="AI470" i="1"/>
  <c r="AI45" i="1" s="1"/>
  <c r="AJ470" i="1"/>
  <c r="AJ45" i="1"/>
  <c r="AK470" i="1"/>
  <c r="AK45" i="1"/>
  <c r="AL470" i="1"/>
  <c r="AL45" i="1" s="1"/>
  <c r="AX45" i="1" s="1"/>
  <c r="AM470" i="1"/>
  <c r="AM45" i="1"/>
  <c r="AO45" i="1"/>
  <c r="AP45" i="1"/>
  <c r="AP51" i="1" s="1"/>
  <c r="AQ45" i="1"/>
  <c r="AQ57" i="1" s="1"/>
  <c r="AR45" i="1"/>
  <c r="AR57" i="1" s="1"/>
  <c r="AS45" i="1"/>
  <c r="AT45" i="1"/>
  <c r="AT57" i="1" s="1"/>
  <c r="AU45" i="1"/>
  <c r="AV570" i="1"/>
  <c r="AV45" i="1" s="1"/>
  <c r="AV606" i="1"/>
  <c r="H46" i="1"/>
  <c r="I46" i="1"/>
  <c r="J46" i="1"/>
  <c r="K46" i="1"/>
  <c r="L46" i="1"/>
  <c r="L47" i="1" s="1"/>
  <c r="M46" i="1"/>
  <c r="N46" i="1"/>
  <c r="O46" i="1"/>
  <c r="P46" i="1"/>
  <c r="Q46" i="1"/>
  <c r="Q58" i="1" s="1"/>
  <c r="R46" i="1"/>
  <c r="S46" i="1"/>
  <c r="S52" i="1" s="1"/>
  <c r="T46" i="1"/>
  <c r="U46" i="1"/>
  <c r="V46" i="1"/>
  <c r="W46" i="1"/>
  <c r="X46" i="1"/>
  <c r="X52" i="1" s="1"/>
  <c r="Y46" i="1"/>
  <c r="Z46" i="1"/>
  <c r="AA46" i="1"/>
  <c r="AB46" i="1"/>
  <c r="AB47" i="1" s="1"/>
  <c r="AC46" i="1"/>
  <c r="AD46" i="1"/>
  <c r="AE46" i="1"/>
  <c r="AF46" i="1"/>
  <c r="AG46" i="1"/>
  <c r="AG58" i="1" s="1"/>
  <c r="AH46" i="1"/>
  <c r="AI477" i="1"/>
  <c r="AI46" i="1" s="1"/>
  <c r="AJ477" i="1"/>
  <c r="AJ46" i="1"/>
  <c r="AK477" i="1"/>
  <c r="AK46" i="1"/>
  <c r="AK52" i="1" s="1"/>
  <c r="AL477" i="1"/>
  <c r="AL46" i="1"/>
  <c r="AM477" i="1"/>
  <c r="AM46" i="1"/>
  <c r="AX46" i="1" s="1"/>
  <c r="AO46" i="1"/>
  <c r="AP46" i="1"/>
  <c r="AP52" i="1" s="1"/>
  <c r="AQ46" i="1"/>
  <c r="AQ52" i="1" s="1"/>
  <c r="AR46" i="1"/>
  <c r="AS46" i="1"/>
  <c r="AS52" i="1" s="1"/>
  <c r="AT46" i="1"/>
  <c r="AU46" i="1"/>
  <c r="AV569" i="1"/>
  <c r="AV605" i="1"/>
  <c r="AV46" i="1"/>
  <c r="N47" i="1"/>
  <c r="O47" i="1"/>
  <c r="Q47" i="1"/>
  <c r="W47" i="1"/>
  <c r="AD47" i="1"/>
  <c r="AE47" i="1"/>
  <c r="AG47" i="1"/>
  <c r="AV47" i="1"/>
  <c r="Q50" i="1"/>
  <c r="R50" i="1"/>
  <c r="S50" i="1"/>
  <c r="T50" i="1"/>
  <c r="U50" i="1"/>
  <c r="V50" i="1"/>
  <c r="W50" i="1"/>
  <c r="X50" i="1"/>
  <c r="Y50" i="1"/>
  <c r="Z50" i="1"/>
  <c r="AA50" i="1"/>
  <c r="AG50" i="1"/>
  <c r="AH50" i="1"/>
  <c r="AP50" i="1"/>
  <c r="AQ50" i="1"/>
  <c r="AR50" i="1"/>
  <c r="AS50" i="1"/>
  <c r="L51" i="1"/>
  <c r="S51" i="1"/>
  <c r="T51" i="1"/>
  <c r="U51" i="1"/>
  <c r="V51" i="1"/>
  <c r="Z51" i="1"/>
  <c r="AA51" i="1"/>
  <c r="AB51" i="1"/>
  <c r="AI51" i="1"/>
  <c r="AJ51" i="1"/>
  <c r="AK51" i="1"/>
  <c r="M52" i="1"/>
  <c r="N52" i="1"/>
  <c r="O52" i="1"/>
  <c r="Q52" i="1"/>
  <c r="W52" i="1"/>
  <c r="Y52" i="1"/>
  <c r="Z52" i="1"/>
  <c r="AA52" i="1"/>
  <c r="AC52" i="1"/>
  <c r="AD52" i="1"/>
  <c r="AE52" i="1"/>
  <c r="AG52" i="1"/>
  <c r="AV52" i="1"/>
  <c r="L56" i="1"/>
  <c r="M56" i="1"/>
  <c r="P56" i="1"/>
  <c r="Q56" i="1"/>
  <c r="R56" i="1"/>
  <c r="S56" i="1"/>
  <c r="T56" i="1"/>
  <c r="AB56" i="1"/>
  <c r="AC56" i="1"/>
  <c r="AF56" i="1"/>
  <c r="AG56" i="1"/>
  <c r="AH56" i="1"/>
  <c r="AO56" i="1"/>
  <c r="AP56" i="1"/>
  <c r="H57" i="1"/>
  <c r="I57" i="1"/>
  <c r="J57" i="1"/>
  <c r="K57" i="1"/>
  <c r="T57" i="1"/>
  <c r="U57" i="1"/>
  <c r="X57" i="1"/>
  <c r="Y57" i="1"/>
  <c r="Z57" i="1"/>
  <c r="AA57" i="1"/>
  <c r="AO57" i="1"/>
  <c r="AP57" i="1"/>
  <c r="H58" i="1"/>
  <c r="I58" i="1"/>
  <c r="J58" i="1"/>
  <c r="K58" i="1"/>
  <c r="L58" i="1"/>
  <c r="M58" i="1"/>
  <c r="T58" i="1"/>
  <c r="U58" i="1"/>
  <c r="X58" i="1"/>
  <c r="Y58" i="1"/>
  <c r="Z58" i="1"/>
  <c r="AA58" i="1"/>
  <c r="AB58" i="1"/>
  <c r="AC58" i="1"/>
  <c r="AO58" i="1"/>
  <c r="AP58" i="1"/>
  <c r="AS58" i="1"/>
  <c r="AU58" i="1"/>
  <c r="AV58" i="1"/>
  <c r="S59" i="1"/>
  <c r="T59" i="1"/>
  <c r="AP61" i="1"/>
  <c r="AP63" i="1"/>
  <c r="AF250" i="1"/>
  <c r="AG250" i="1"/>
  <c r="AO248" i="1"/>
  <c r="D248" i="1"/>
  <c r="D249" i="1"/>
  <c r="AQ92" i="1"/>
  <c r="H92" i="1"/>
  <c r="H66" i="1" s="1"/>
  <c r="I92" i="1"/>
  <c r="I66" i="1"/>
  <c r="J92" i="1"/>
  <c r="J66" i="1" s="1"/>
  <c r="K92" i="1"/>
  <c r="K66" i="1"/>
  <c r="AR92" i="1"/>
  <c r="L92" i="1"/>
  <c r="L66" i="1" s="1"/>
  <c r="AS92" i="1"/>
  <c r="AS66" i="1" s="1"/>
  <c r="P92" i="1"/>
  <c r="P66" i="1"/>
  <c r="Q92" i="1"/>
  <c r="Q66" i="1"/>
  <c r="R92" i="1"/>
  <c r="R66" i="1" s="1"/>
  <c r="S92" i="1"/>
  <c r="S66" i="1" s="1"/>
  <c r="AT92" i="1"/>
  <c r="AU92" i="1"/>
  <c r="AU66" i="1" s="1"/>
  <c r="X92" i="1"/>
  <c r="X66" i="1"/>
  <c r="Y92" i="1"/>
  <c r="Y66" i="1" s="1"/>
  <c r="Z92" i="1"/>
  <c r="Z66" i="1"/>
  <c r="AA92" i="1"/>
  <c r="AA66" i="1" s="1"/>
  <c r="AV650" i="1"/>
  <c r="AV92" i="1"/>
  <c r="AB92" i="1" s="1"/>
  <c r="AB66" i="1" s="1"/>
  <c r="AC92" i="1"/>
  <c r="AC66" i="1" s="1"/>
  <c r="AD92" i="1"/>
  <c r="AD66" i="1"/>
  <c r="AE92" i="1"/>
  <c r="AE66" i="1" s="1"/>
  <c r="AF92" i="1"/>
  <c r="AF66" i="1"/>
  <c r="AG92" i="1"/>
  <c r="AG66" i="1"/>
  <c r="AH92" i="1"/>
  <c r="AH66" i="1" s="1"/>
  <c r="AI92" i="1"/>
  <c r="AI66" i="1"/>
  <c r="AJ92" i="1"/>
  <c r="AJ66" i="1"/>
  <c r="AK92" i="1"/>
  <c r="AK66" i="1" s="1"/>
  <c r="AL92" i="1"/>
  <c r="AL66" i="1"/>
  <c r="AM92" i="1"/>
  <c r="AM66" i="1"/>
  <c r="AO92" i="1"/>
  <c r="AO66" i="1" s="1"/>
  <c r="AP92" i="1"/>
  <c r="AP66" i="1"/>
  <c r="AQ66" i="1"/>
  <c r="AV66" i="1"/>
  <c r="AW66" i="1"/>
  <c r="AX66" i="1"/>
  <c r="H607" i="1"/>
  <c r="H72" i="1" s="1"/>
  <c r="I607" i="1"/>
  <c r="I72" i="1"/>
  <c r="J607" i="1"/>
  <c r="J72" i="1"/>
  <c r="K607" i="1"/>
  <c r="K72" i="1" s="1"/>
  <c r="L607" i="1"/>
  <c r="L72" i="1" s="1"/>
  <c r="M607" i="1"/>
  <c r="M72" i="1"/>
  <c r="N607" i="1"/>
  <c r="N72" i="1"/>
  <c r="O607" i="1"/>
  <c r="O72" i="1"/>
  <c r="P607" i="1"/>
  <c r="P72" i="1"/>
  <c r="Q607" i="1"/>
  <c r="Q72" i="1" s="1"/>
  <c r="R607" i="1"/>
  <c r="R72" i="1"/>
  <c r="S607" i="1"/>
  <c r="S72" i="1" s="1"/>
  <c r="T607" i="1"/>
  <c r="T72" i="1" s="1"/>
  <c r="U607" i="1"/>
  <c r="U72" i="1"/>
  <c r="V607" i="1"/>
  <c r="V72" i="1"/>
  <c r="W607" i="1"/>
  <c r="W72" i="1" s="1"/>
  <c r="X607" i="1"/>
  <c r="X72" i="1"/>
  <c r="Y607" i="1"/>
  <c r="Y72" i="1"/>
  <c r="Z607" i="1"/>
  <c r="Z72" i="1" s="1"/>
  <c r="AA607" i="1"/>
  <c r="AA72" i="1" s="1"/>
  <c r="AB607" i="1"/>
  <c r="AB72" i="1" s="1"/>
  <c r="AC607" i="1"/>
  <c r="AC72" i="1"/>
  <c r="AD607" i="1"/>
  <c r="AV607" i="1" s="1"/>
  <c r="AV72" i="1" s="1"/>
  <c r="AV110" i="1" s="1"/>
  <c r="AD72" i="1"/>
  <c r="AE607" i="1"/>
  <c r="AE72" i="1"/>
  <c r="AF607" i="1"/>
  <c r="AF72" i="1" s="1"/>
  <c r="AW72" i="1" s="1"/>
  <c r="AG607" i="1"/>
  <c r="AG72" i="1"/>
  <c r="AH607" i="1"/>
  <c r="AH72" i="1"/>
  <c r="AI72" i="1"/>
  <c r="AO607" i="1"/>
  <c r="AO72" i="1"/>
  <c r="AP607" i="1"/>
  <c r="AP72" i="1"/>
  <c r="AQ607" i="1"/>
  <c r="AQ72" i="1"/>
  <c r="AR607" i="1"/>
  <c r="AS607" i="1"/>
  <c r="AT607" i="1"/>
  <c r="AT72" i="1"/>
  <c r="AU607" i="1"/>
  <c r="AU72" i="1"/>
  <c r="AX72" i="1"/>
  <c r="AP73" i="1"/>
  <c r="AP75" i="1"/>
  <c r="H77" i="1"/>
  <c r="I77" i="1"/>
  <c r="J77" i="1"/>
  <c r="K77" i="1"/>
  <c r="L77" i="1"/>
  <c r="M77" i="1"/>
  <c r="N77" i="1"/>
  <c r="O77" i="1"/>
  <c r="P77" i="1"/>
  <c r="Q77" i="1"/>
  <c r="R77" i="1"/>
  <c r="S77" i="1"/>
  <c r="T77" i="1"/>
  <c r="U77" i="1"/>
  <c r="V77" i="1"/>
  <c r="W77" i="1"/>
  <c r="X77" i="1"/>
  <c r="Y77" i="1"/>
  <c r="Z77" i="1"/>
  <c r="AA77" i="1"/>
  <c r="AB77" i="1"/>
  <c r="AC77" i="1"/>
  <c r="AD77" i="1"/>
  <c r="AE77" i="1"/>
  <c r="AF77" i="1"/>
  <c r="AW77" i="1" s="1"/>
  <c r="AG77" i="1"/>
  <c r="AH77" i="1"/>
  <c r="AO77" i="1"/>
  <c r="AP77" i="1"/>
  <c r="AP79" i="1" s="1"/>
  <c r="AQ77" i="1"/>
  <c r="AR77" i="1"/>
  <c r="AS77" i="1"/>
  <c r="AT77" i="1"/>
  <c r="AU77" i="1"/>
  <c r="AV575" i="1"/>
  <c r="AV576" i="1"/>
  <c r="AV619" i="1"/>
  <c r="AV77" i="1"/>
  <c r="AX77" i="1"/>
  <c r="H78" i="1"/>
  <c r="I78" i="1"/>
  <c r="J78" i="1"/>
  <c r="K78" i="1"/>
  <c r="L78" i="1"/>
  <c r="M78" i="1"/>
  <c r="N78" i="1"/>
  <c r="O78" i="1"/>
  <c r="P78" i="1"/>
  <c r="Q78" i="1"/>
  <c r="R78" i="1"/>
  <c r="S78" i="1"/>
  <c r="T78" i="1"/>
  <c r="U78" i="1"/>
  <c r="V78" i="1"/>
  <c r="W78" i="1"/>
  <c r="X78" i="1"/>
  <c r="Y78" i="1"/>
  <c r="Z78" i="1"/>
  <c r="AA78" i="1"/>
  <c r="AB78" i="1"/>
  <c r="AC78" i="1"/>
  <c r="AD78" i="1"/>
  <c r="AE78" i="1"/>
  <c r="AF78" i="1"/>
  <c r="AG78" i="1"/>
  <c r="AH78" i="1"/>
  <c r="AO78" i="1"/>
  <c r="AP78" i="1"/>
  <c r="AQ78" i="1"/>
  <c r="AR78" i="1"/>
  <c r="AS78" i="1"/>
  <c r="AT78" i="1"/>
  <c r="AU78" i="1"/>
  <c r="AV577" i="1"/>
  <c r="AV578" i="1"/>
  <c r="AV579" i="1"/>
  <c r="AV618" i="1"/>
  <c r="AV571" i="1"/>
  <c r="AV78" i="1"/>
  <c r="AW78" i="1"/>
  <c r="AX78" i="1"/>
  <c r="H80" i="1"/>
  <c r="I80" i="1"/>
  <c r="I106" i="1" s="1"/>
  <c r="J80" i="1"/>
  <c r="K80" i="1"/>
  <c r="K106" i="1" s="1"/>
  <c r="L80" i="1"/>
  <c r="M80" i="1"/>
  <c r="N80" i="1"/>
  <c r="O80" i="1"/>
  <c r="P80" i="1"/>
  <c r="Q80" i="1"/>
  <c r="R80" i="1"/>
  <c r="S80" i="1"/>
  <c r="T80" i="1"/>
  <c r="D23" i="56" s="1"/>
  <c r="U80" i="1"/>
  <c r="E23" i="56" s="1"/>
  <c r="E24" i="56" s="1"/>
  <c r="V80" i="1"/>
  <c r="F23" i="56" s="1"/>
  <c r="W80" i="1"/>
  <c r="G23" i="56" s="1"/>
  <c r="G24" i="56" s="1"/>
  <c r="X80" i="1"/>
  <c r="H23" i="56" s="1"/>
  <c r="H24" i="56" s="1"/>
  <c r="Y80" i="1"/>
  <c r="I23" i="56" s="1"/>
  <c r="I24" i="56" s="1"/>
  <c r="Z80" i="1"/>
  <c r="J23" i="56" s="1"/>
  <c r="AA80" i="1"/>
  <c r="AB80" i="1"/>
  <c r="L23" i="56" s="1"/>
  <c r="AC80" i="1"/>
  <c r="M23" i="56" s="1"/>
  <c r="AD80" i="1"/>
  <c r="N23" i="56" s="1"/>
  <c r="AE80" i="1"/>
  <c r="O23" i="56" s="1"/>
  <c r="O24" i="56" s="1"/>
  <c r="AF80" i="1"/>
  <c r="P23" i="56" s="1"/>
  <c r="P24" i="56" s="1"/>
  <c r="AG80" i="1"/>
  <c r="Q23" i="56" s="1"/>
  <c r="Q24" i="56" s="1"/>
  <c r="AH80" i="1"/>
  <c r="R23" i="56" s="1"/>
  <c r="R24" i="56" s="1"/>
  <c r="AO80" i="1"/>
  <c r="AP80" i="1"/>
  <c r="AP88" i="1" s="1"/>
  <c r="AQ80" i="1"/>
  <c r="AR80" i="1"/>
  <c r="AS80" i="1"/>
  <c r="AT80" i="1"/>
  <c r="AU80" i="1"/>
  <c r="AV581" i="1"/>
  <c r="AV80" i="1"/>
  <c r="H81" i="1"/>
  <c r="I81" i="1"/>
  <c r="J81" i="1"/>
  <c r="K81" i="1"/>
  <c r="L81" i="1"/>
  <c r="M81" i="1"/>
  <c r="N81" i="1"/>
  <c r="O81" i="1"/>
  <c r="P81" i="1"/>
  <c r="Q81" i="1"/>
  <c r="R81" i="1"/>
  <c r="S81" i="1"/>
  <c r="T81" i="1"/>
  <c r="U81" i="1"/>
  <c r="V81" i="1"/>
  <c r="W81" i="1"/>
  <c r="X81" i="1"/>
  <c r="Y81" i="1"/>
  <c r="Z81" i="1"/>
  <c r="AA81" i="1"/>
  <c r="AB81" i="1"/>
  <c r="AC81" i="1"/>
  <c r="AD81" i="1"/>
  <c r="AE81" i="1"/>
  <c r="AF81" i="1"/>
  <c r="AW81" i="1" s="1"/>
  <c r="AG81" i="1"/>
  <c r="AH81" i="1"/>
  <c r="AO81" i="1"/>
  <c r="AP81" i="1"/>
  <c r="AQ81" i="1"/>
  <c r="AR81" i="1"/>
  <c r="AS81" i="1"/>
  <c r="AT81" i="1"/>
  <c r="AU81" i="1"/>
  <c r="AV582" i="1"/>
  <c r="AV81" i="1" s="1"/>
  <c r="AX81" i="1"/>
  <c r="H83" i="1"/>
  <c r="I83" i="1"/>
  <c r="J83" i="1"/>
  <c r="K83" i="1"/>
  <c r="L83" i="1"/>
  <c r="M83" i="1"/>
  <c r="N83" i="1"/>
  <c r="O83" i="1"/>
  <c r="P83" i="1"/>
  <c r="Q83" i="1"/>
  <c r="R83" i="1"/>
  <c r="S83" i="1"/>
  <c r="T83" i="1"/>
  <c r="U83" i="1"/>
  <c r="V83" i="1"/>
  <c r="W83" i="1"/>
  <c r="X83" i="1"/>
  <c r="Y83" i="1"/>
  <c r="Z83" i="1"/>
  <c r="AA83" i="1"/>
  <c r="AB83" i="1"/>
  <c r="AC83" i="1"/>
  <c r="AD83" i="1"/>
  <c r="AE83" i="1"/>
  <c r="AF83" i="1"/>
  <c r="AG83" i="1"/>
  <c r="AH83" i="1"/>
  <c r="AI83" i="1" s="1"/>
  <c r="AJ83" i="1" s="1"/>
  <c r="AO83" i="1"/>
  <c r="AP83" i="1"/>
  <c r="AQ83" i="1"/>
  <c r="AR83" i="1"/>
  <c r="AS83" i="1"/>
  <c r="AT83" i="1"/>
  <c r="AU83" i="1"/>
  <c r="AV83" i="1"/>
  <c r="AW83" i="1"/>
  <c r="H572" i="1"/>
  <c r="H574" i="1" s="1"/>
  <c r="H580" i="1" s="1"/>
  <c r="H583" i="1" s="1"/>
  <c r="H586" i="1" s="1"/>
  <c r="H616" i="1" s="1"/>
  <c r="H620" i="1" s="1"/>
  <c r="H86" i="1" s="1"/>
  <c r="H617" i="1"/>
  <c r="I572" i="1"/>
  <c r="I574" i="1" s="1"/>
  <c r="I580" i="1" s="1"/>
  <c r="I583" i="1" s="1"/>
  <c r="I586" i="1"/>
  <c r="I616" i="1" s="1"/>
  <c r="I617" i="1"/>
  <c r="J572" i="1"/>
  <c r="J574" i="1"/>
  <c r="J580" i="1"/>
  <c r="J583" i="1"/>
  <c r="J586" i="1" s="1"/>
  <c r="J616" i="1" s="1"/>
  <c r="J620" i="1" s="1"/>
  <c r="J617" i="1"/>
  <c r="K572" i="1"/>
  <c r="K574" i="1"/>
  <c r="K580" i="1"/>
  <c r="K583" i="1"/>
  <c r="K586" i="1"/>
  <c r="K616" i="1" s="1"/>
  <c r="L572" i="1"/>
  <c r="L574" i="1"/>
  <c r="L580" i="1" s="1"/>
  <c r="L583" i="1" s="1"/>
  <c r="L586" i="1" s="1"/>
  <c r="L616" i="1" s="1"/>
  <c r="L620" i="1" s="1"/>
  <c r="L617" i="1"/>
  <c r="M572" i="1"/>
  <c r="M574" i="1" s="1"/>
  <c r="M580" i="1"/>
  <c r="M583" i="1" s="1"/>
  <c r="M586" i="1" s="1"/>
  <c r="M616" i="1" s="1"/>
  <c r="M620" i="1" s="1"/>
  <c r="M617" i="1"/>
  <c r="N572" i="1"/>
  <c r="N617" i="1"/>
  <c r="O572" i="1"/>
  <c r="O617" i="1"/>
  <c r="P572" i="1"/>
  <c r="P574" i="1"/>
  <c r="P580" i="1" s="1"/>
  <c r="P583" i="1" s="1"/>
  <c r="P586" i="1"/>
  <c r="P616" i="1" s="1"/>
  <c r="P620" i="1" s="1"/>
  <c r="P617" i="1"/>
  <c r="Q572" i="1"/>
  <c r="Q574" i="1" s="1"/>
  <c r="Q580" i="1" s="1"/>
  <c r="Q583" i="1" s="1"/>
  <c r="Q586" i="1" s="1"/>
  <c r="Q616" i="1" s="1"/>
  <c r="Q620" i="1" s="1"/>
  <c r="Q617" i="1"/>
  <c r="R572" i="1"/>
  <c r="R574" i="1"/>
  <c r="R580" i="1"/>
  <c r="R583" i="1" s="1"/>
  <c r="R586" i="1" s="1"/>
  <c r="R616" i="1" s="1"/>
  <c r="R620" i="1" s="1"/>
  <c r="R617" i="1"/>
  <c r="S572" i="1"/>
  <c r="S574" i="1"/>
  <c r="S580" i="1"/>
  <c r="S583" i="1" s="1"/>
  <c r="S586" i="1" s="1"/>
  <c r="S616" i="1" s="1"/>
  <c r="S620" i="1" s="1"/>
  <c r="S86" i="1" s="1"/>
  <c r="S617" i="1"/>
  <c r="T572" i="1"/>
  <c r="T574" i="1"/>
  <c r="T580" i="1"/>
  <c r="T583" i="1"/>
  <c r="T586" i="1" s="1"/>
  <c r="T616" i="1" s="1"/>
  <c r="T620" i="1" s="1"/>
  <c r="T617" i="1"/>
  <c r="U572" i="1"/>
  <c r="U574" i="1" s="1"/>
  <c r="U580" i="1" s="1"/>
  <c r="U583" i="1" s="1"/>
  <c r="U586" i="1" s="1"/>
  <c r="U616" i="1" s="1"/>
  <c r="U620" i="1" s="1"/>
  <c r="U617" i="1"/>
  <c r="V572" i="1"/>
  <c r="V617" i="1"/>
  <c r="W572" i="1"/>
  <c r="W617" i="1"/>
  <c r="X572" i="1"/>
  <c r="X574" i="1" s="1"/>
  <c r="X580" i="1" s="1"/>
  <c r="X583" i="1" s="1"/>
  <c r="X586" i="1" s="1"/>
  <c r="X616" i="1" s="1"/>
  <c r="X620" i="1" s="1"/>
  <c r="X86" i="1" s="1"/>
  <c r="X617" i="1"/>
  <c r="Y572" i="1"/>
  <c r="Y574" i="1" s="1"/>
  <c r="Y580" i="1" s="1"/>
  <c r="Y583" i="1" s="1"/>
  <c r="Y586" i="1"/>
  <c r="Y616" i="1" s="1"/>
  <c r="Y620" i="1" s="1"/>
  <c r="Y617" i="1"/>
  <c r="Z572" i="1"/>
  <c r="Z574" i="1" s="1"/>
  <c r="Z580" i="1" s="1"/>
  <c r="Z583" i="1" s="1"/>
  <c r="Z586" i="1" s="1"/>
  <c r="Z616" i="1" s="1"/>
  <c r="Z620" i="1" s="1"/>
  <c r="Z617" i="1"/>
  <c r="AA572" i="1"/>
  <c r="AA574" i="1"/>
  <c r="AA580" i="1" s="1"/>
  <c r="AA583" i="1" s="1"/>
  <c r="AA586" i="1" s="1"/>
  <c r="AA616" i="1" s="1"/>
  <c r="AA620" i="1" s="1"/>
  <c r="AA617" i="1"/>
  <c r="AB572" i="1"/>
  <c r="AB574" i="1"/>
  <c r="AB580" i="1" s="1"/>
  <c r="AB583" i="1" s="1"/>
  <c r="AB586" i="1" s="1"/>
  <c r="AB616" i="1" s="1"/>
  <c r="AB620" i="1" s="1"/>
  <c r="AB617" i="1"/>
  <c r="AB86" i="1"/>
  <c r="AC572" i="1"/>
  <c r="AC574" i="1"/>
  <c r="AC580" i="1" s="1"/>
  <c r="AC583" i="1" s="1"/>
  <c r="AC586" i="1" s="1"/>
  <c r="AC616" i="1" s="1"/>
  <c r="AC620" i="1" s="1"/>
  <c r="AC617" i="1"/>
  <c r="AD572" i="1"/>
  <c r="AD617" i="1"/>
  <c r="AE572" i="1"/>
  <c r="AE617" i="1"/>
  <c r="AF572" i="1"/>
  <c r="AF574" i="1"/>
  <c r="AF580" i="1" s="1"/>
  <c r="AF583" i="1" s="1"/>
  <c r="AF586" i="1" s="1"/>
  <c r="AF616" i="1" s="1"/>
  <c r="AF620" i="1" s="1"/>
  <c r="AF617" i="1"/>
  <c r="AG572" i="1"/>
  <c r="AG574" i="1" s="1"/>
  <c r="AG580" i="1" s="1"/>
  <c r="AG583" i="1" s="1"/>
  <c r="AG586" i="1" s="1"/>
  <c r="AG616" i="1" s="1"/>
  <c r="AG620" i="1" s="1"/>
  <c r="AG617" i="1"/>
  <c r="AH572" i="1"/>
  <c r="AH574" i="1"/>
  <c r="AH580" i="1"/>
  <c r="AH583" i="1"/>
  <c r="AH586" i="1" s="1"/>
  <c r="AH616" i="1" s="1"/>
  <c r="AH620" i="1" s="1"/>
  <c r="AH86" i="1" s="1"/>
  <c r="AH617" i="1"/>
  <c r="AO572" i="1"/>
  <c r="AO574" i="1"/>
  <c r="AO580" i="1" s="1"/>
  <c r="AO583" i="1" s="1"/>
  <c r="AO586" i="1" s="1"/>
  <c r="AO616" i="1" s="1"/>
  <c r="AO620" i="1" s="1"/>
  <c r="AO617" i="1"/>
  <c r="AP572" i="1"/>
  <c r="AP574" i="1" s="1"/>
  <c r="AP580" i="1" s="1"/>
  <c r="AP583" i="1" s="1"/>
  <c r="AP586" i="1" s="1"/>
  <c r="AP616" i="1" s="1"/>
  <c r="AP620" i="1" s="1"/>
  <c r="AP617" i="1"/>
  <c r="AQ572" i="1"/>
  <c r="AQ574" i="1"/>
  <c r="AQ580" i="1"/>
  <c r="AQ583" i="1"/>
  <c r="AQ586" i="1"/>
  <c r="AQ616" i="1" s="1"/>
  <c r="AQ620" i="1" s="1"/>
  <c r="AQ617" i="1"/>
  <c r="AR572" i="1"/>
  <c r="AR574" i="1"/>
  <c r="AR580" i="1"/>
  <c r="AR583" i="1" s="1"/>
  <c r="AR586" i="1" s="1"/>
  <c r="AR616" i="1" s="1"/>
  <c r="AS572" i="1"/>
  <c r="AS574" i="1"/>
  <c r="AS580" i="1"/>
  <c r="AS583" i="1"/>
  <c r="AS586" i="1" s="1"/>
  <c r="AS616" i="1" s="1"/>
  <c r="AT572" i="1"/>
  <c r="AT574" i="1" s="1"/>
  <c r="AT580" i="1" s="1"/>
  <c r="AT583" i="1" s="1"/>
  <c r="AT586" i="1"/>
  <c r="AT616" i="1" s="1"/>
  <c r="AT620" i="1" s="1"/>
  <c r="AT617" i="1"/>
  <c r="AU572" i="1"/>
  <c r="AU574" i="1" s="1"/>
  <c r="AU580" i="1" s="1"/>
  <c r="AU583" i="1" s="1"/>
  <c r="AU586" i="1" s="1"/>
  <c r="AU616" i="1" s="1"/>
  <c r="AU620" i="1" s="1"/>
  <c r="AU617" i="1"/>
  <c r="X622" i="1"/>
  <c r="X625" i="1"/>
  <c r="X87" i="1" s="1"/>
  <c r="AP91" i="1"/>
  <c r="AP93" i="1" s="1"/>
  <c r="AQ98" i="1"/>
  <c r="K98" i="1" s="1"/>
  <c r="H98" i="1"/>
  <c r="J98" i="1"/>
  <c r="AR98" i="1"/>
  <c r="L98" i="1"/>
  <c r="M98" i="1"/>
  <c r="AS98" i="1"/>
  <c r="S98" i="1" s="1"/>
  <c r="P98" i="1"/>
  <c r="Q98" i="1"/>
  <c r="R98" i="1"/>
  <c r="AT98" i="1"/>
  <c r="T98" i="1" s="1"/>
  <c r="V98" i="1"/>
  <c r="W98" i="1"/>
  <c r="AU98" i="1"/>
  <c r="Y98" i="1"/>
  <c r="AV689" i="1"/>
  <c r="AV98" i="1" s="1"/>
  <c r="AC98" i="1"/>
  <c r="AF98" i="1"/>
  <c r="AG98" i="1"/>
  <c r="AH98" i="1"/>
  <c r="AI98" i="1"/>
  <c r="AJ98" i="1"/>
  <c r="AK98" i="1"/>
  <c r="AL98" i="1"/>
  <c r="AM98" i="1"/>
  <c r="AO98" i="1"/>
  <c r="AP98" i="1"/>
  <c r="H104" i="1"/>
  <c r="I104" i="1"/>
  <c r="J104" i="1"/>
  <c r="K104" i="1"/>
  <c r="L104" i="1"/>
  <c r="M104" i="1"/>
  <c r="N104" i="1"/>
  <c r="O104" i="1"/>
  <c r="P104" i="1"/>
  <c r="Q104" i="1"/>
  <c r="R104" i="1"/>
  <c r="S104" i="1"/>
  <c r="T104" i="1"/>
  <c r="U104" i="1"/>
  <c r="V104" i="1"/>
  <c r="W104" i="1"/>
  <c r="X104" i="1"/>
  <c r="Y104" i="1"/>
  <c r="Z104" i="1"/>
  <c r="AA104" i="1"/>
  <c r="AB104" i="1"/>
  <c r="AC104" i="1"/>
  <c r="AD104" i="1"/>
  <c r="AE104" i="1"/>
  <c r="AF104" i="1"/>
  <c r="AG104" i="1"/>
  <c r="AW104" i="1" s="1"/>
  <c r="AH104" i="1"/>
  <c r="AI104" i="1"/>
  <c r="AJ104" i="1"/>
  <c r="AK104" i="1"/>
  <c r="AL104" i="1"/>
  <c r="AM104" i="1"/>
  <c r="AO104" i="1"/>
  <c r="AP104" i="1"/>
  <c r="AQ104" i="1"/>
  <c r="AR104" i="1"/>
  <c r="AS104" i="1"/>
  <c r="AT104" i="1"/>
  <c r="AU104" i="1"/>
  <c r="AV104"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W105" i="1" s="1"/>
  <c r="AI105" i="1"/>
  <c r="AJ105" i="1"/>
  <c r="AX105" i="1" s="1"/>
  <c r="AK105" i="1"/>
  <c r="AL105" i="1"/>
  <c r="AM105" i="1"/>
  <c r="AO105" i="1"/>
  <c r="AP105" i="1"/>
  <c r="AQ105" i="1"/>
  <c r="AR105" i="1"/>
  <c r="AS105" i="1"/>
  <c r="AT105" i="1"/>
  <c r="AU105" i="1"/>
  <c r="AV105" i="1"/>
  <c r="H106" i="1"/>
  <c r="J106" i="1"/>
  <c r="L106" i="1"/>
  <c r="M106" i="1"/>
  <c r="N106" i="1"/>
  <c r="O106" i="1"/>
  <c r="P106" i="1"/>
  <c r="Q106" i="1"/>
  <c r="R106" i="1"/>
  <c r="S106" i="1"/>
  <c r="T106" i="1"/>
  <c r="U106" i="1"/>
  <c r="V106" i="1"/>
  <c r="W106" i="1"/>
  <c r="X106" i="1"/>
  <c r="Z106" i="1"/>
  <c r="AB106" i="1"/>
  <c r="AC106" i="1"/>
  <c r="AD106" i="1"/>
  <c r="AE106" i="1"/>
  <c r="AF106" i="1"/>
  <c r="AG106" i="1"/>
  <c r="AH106" i="1"/>
  <c r="AO106" i="1"/>
  <c r="AP106" i="1"/>
  <c r="AQ106" i="1"/>
  <c r="AR106" i="1"/>
  <c r="AS106" i="1"/>
  <c r="AT106" i="1"/>
  <c r="AU106" i="1"/>
  <c r="AV106" i="1"/>
  <c r="H107" i="1"/>
  <c r="I107" i="1"/>
  <c r="J107" i="1"/>
  <c r="K107" i="1"/>
  <c r="L107" i="1"/>
  <c r="M107" i="1"/>
  <c r="N107" i="1"/>
  <c r="O107" i="1"/>
  <c r="P107" i="1"/>
  <c r="Q107" i="1"/>
  <c r="R107" i="1"/>
  <c r="S107" i="1"/>
  <c r="T107" i="1"/>
  <c r="U107" i="1"/>
  <c r="V107" i="1"/>
  <c r="W107" i="1"/>
  <c r="X107" i="1"/>
  <c r="Y107" i="1"/>
  <c r="Z107" i="1"/>
  <c r="AA107" i="1"/>
  <c r="AB107" i="1"/>
  <c r="AC107" i="1"/>
  <c r="AD107" i="1"/>
  <c r="AE107" i="1"/>
  <c r="AF107" i="1"/>
  <c r="AG107" i="1"/>
  <c r="AH107" i="1"/>
  <c r="AI107" i="1"/>
  <c r="AW107" i="1" s="1"/>
  <c r="AJ107" i="1"/>
  <c r="AX107" i="1" s="1"/>
  <c r="AK107" i="1"/>
  <c r="AL107" i="1"/>
  <c r="AM107" i="1"/>
  <c r="AO107" i="1"/>
  <c r="AP107" i="1"/>
  <c r="AQ107" i="1"/>
  <c r="AR107" i="1"/>
  <c r="AS107" i="1"/>
  <c r="AT107" i="1"/>
  <c r="AU107" i="1"/>
  <c r="AV107" i="1"/>
  <c r="H110" i="1"/>
  <c r="I110" i="1"/>
  <c r="J110" i="1"/>
  <c r="K110" i="1"/>
  <c r="L110" i="1"/>
  <c r="M110" i="1"/>
  <c r="N110" i="1"/>
  <c r="O110" i="1"/>
  <c r="P110" i="1"/>
  <c r="Q110" i="1"/>
  <c r="R110" i="1"/>
  <c r="S110" i="1"/>
  <c r="T110" i="1"/>
  <c r="U110" i="1"/>
  <c r="V110" i="1"/>
  <c r="W110" i="1"/>
  <c r="X110" i="1"/>
  <c r="Y110" i="1"/>
  <c r="Z110" i="1"/>
  <c r="AA110" i="1"/>
  <c r="AB110" i="1"/>
  <c r="AC110" i="1"/>
  <c r="AD110" i="1"/>
  <c r="AE110" i="1"/>
  <c r="AF110" i="1"/>
  <c r="AW110" i="1" s="1"/>
  <c r="AG110" i="1"/>
  <c r="AH110" i="1"/>
  <c r="AO110" i="1"/>
  <c r="AP110" i="1"/>
  <c r="AQ110" i="1"/>
  <c r="AT110" i="1"/>
  <c r="AU110" i="1"/>
  <c r="AX110" i="1"/>
  <c r="H119" i="1"/>
  <c r="H120" i="1"/>
  <c r="H121" i="1"/>
  <c r="AP119" i="1"/>
  <c r="AP120" i="1"/>
  <c r="AP121" i="1"/>
  <c r="AQ116" i="1"/>
  <c r="I116" i="1" s="1"/>
  <c r="H715" i="1"/>
  <c r="H116" i="1" s="1"/>
  <c r="AQ715" i="1"/>
  <c r="I119" i="1"/>
  <c r="I121" i="1" s="1"/>
  <c r="I120" i="1"/>
  <c r="I715" i="1"/>
  <c r="J119" i="1"/>
  <c r="J120" i="1"/>
  <c r="J121" i="1"/>
  <c r="J715" i="1"/>
  <c r="J116" i="1"/>
  <c r="AQ679" i="1"/>
  <c r="AQ112" i="1" s="1"/>
  <c r="L119" i="1"/>
  <c r="L121" i="1" s="1"/>
  <c r="L120" i="1"/>
  <c r="K119" i="1"/>
  <c r="K120" i="1"/>
  <c r="K121" i="1" s="1"/>
  <c r="K122" i="1" s="1"/>
  <c r="AR116" i="1"/>
  <c r="M116" i="1" s="1"/>
  <c r="L715" i="1"/>
  <c r="AR715" i="1"/>
  <c r="N116" i="1" s="1"/>
  <c r="L116" i="1"/>
  <c r="M119" i="1"/>
  <c r="M121" i="1" s="1"/>
  <c r="M120" i="1"/>
  <c r="M715" i="1"/>
  <c r="N119" i="1"/>
  <c r="N120" i="1"/>
  <c r="N121" i="1" s="1"/>
  <c r="N715" i="1"/>
  <c r="AR679" i="1"/>
  <c r="AR112" i="1"/>
  <c r="P119" i="1"/>
  <c r="P121" i="1" s="1"/>
  <c r="P120" i="1"/>
  <c r="O119" i="1"/>
  <c r="O121" i="1" s="1"/>
  <c r="O122" i="1" s="1"/>
  <c r="O120" i="1"/>
  <c r="AS116" i="1"/>
  <c r="Q116" i="1" s="1"/>
  <c r="P715" i="1"/>
  <c r="AS715" i="1"/>
  <c r="P116" i="1"/>
  <c r="Q119" i="1"/>
  <c r="Q120" i="1"/>
  <c r="Q715" i="1"/>
  <c r="R119" i="1"/>
  <c r="R121" i="1" s="1"/>
  <c r="R120" i="1"/>
  <c r="R715" i="1"/>
  <c r="AS679" i="1"/>
  <c r="AS112" i="1"/>
  <c r="T119" i="1"/>
  <c r="T121" i="1" s="1"/>
  <c r="T120" i="1"/>
  <c r="S119" i="1"/>
  <c r="S120" i="1"/>
  <c r="S121" i="1"/>
  <c r="AT116" i="1"/>
  <c r="T715" i="1"/>
  <c r="AT715" i="1"/>
  <c r="V116" i="1" s="1"/>
  <c r="U119" i="1"/>
  <c r="U120" i="1"/>
  <c r="U715" i="1"/>
  <c r="U116" i="1" s="1"/>
  <c r="V119" i="1"/>
  <c r="V120" i="1"/>
  <c r="V121" i="1"/>
  <c r="V715" i="1"/>
  <c r="AT679" i="1"/>
  <c r="AT112" i="1"/>
  <c r="X119" i="1"/>
  <c r="X120" i="1"/>
  <c r="W119" i="1"/>
  <c r="W120" i="1"/>
  <c r="W121" i="1"/>
  <c r="AU116" i="1"/>
  <c r="X715" i="1"/>
  <c r="X116" i="1" s="1"/>
  <c r="AU715" i="1"/>
  <c r="Y119" i="1"/>
  <c r="Y120" i="1"/>
  <c r="Y121" i="1"/>
  <c r="Z112" i="1" s="1"/>
  <c r="Y715" i="1"/>
  <c r="Y116" i="1" s="1"/>
  <c r="Z119" i="1"/>
  <c r="Z120" i="1"/>
  <c r="Z121" i="1"/>
  <c r="Z715" i="1"/>
  <c r="Z116" i="1"/>
  <c r="AU679" i="1"/>
  <c r="AU112" i="1" s="1"/>
  <c r="AB119" i="1"/>
  <c r="AB120" i="1"/>
  <c r="AA119" i="1"/>
  <c r="AA121" i="1" s="1"/>
  <c r="AA122" i="1" s="1"/>
  <c r="AA120" i="1"/>
  <c r="AV700" i="1"/>
  <c r="AV704" i="1"/>
  <c r="AV713" i="1"/>
  <c r="AV705" i="1"/>
  <c r="AV116" i="1" s="1"/>
  <c r="AV711" i="1"/>
  <c r="AB715" i="1"/>
  <c r="AV790" i="1"/>
  <c r="AV715" i="1" s="1"/>
  <c r="AC119" i="1"/>
  <c r="AC121" i="1" s="1"/>
  <c r="AC120" i="1"/>
  <c r="AC715" i="1"/>
  <c r="AD119" i="1"/>
  <c r="AD121" i="1" s="1"/>
  <c r="AD120" i="1"/>
  <c r="AD715" i="1"/>
  <c r="AV754" i="1"/>
  <c r="AV679" i="1"/>
  <c r="AV112" i="1" s="1"/>
  <c r="AF119" i="1"/>
  <c r="AF121" i="1" s="1"/>
  <c r="AF120" i="1"/>
  <c r="AE119" i="1"/>
  <c r="AE120" i="1"/>
  <c r="AE121" i="1" s="1"/>
  <c r="AE122" i="1" s="1"/>
  <c r="AG119" i="1"/>
  <c r="AG120" i="1"/>
  <c r="AG121" i="1"/>
  <c r="AG122" i="1" s="1"/>
  <c r="AH119" i="1"/>
  <c r="AH120" i="1"/>
  <c r="AJ111" i="1"/>
  <c r="AK111" i="1"/>
  <c r="AL111" i="1"/>
  <c r="AM111" i="1"/>
  <c r="AO679" i="1"/>
  <c r="AO112" i="1" s="1"/>
  <c r="AP679" i="1"/>
  <c r="AP112" i="1"/>
  <c r="AW116" i="1"/>
  <c r="AO116" i="1"/>
  <c r="AP116" i="1"/>
  <c r="AX116" i="1"/>
  <c r="AO119" i="1"/>
  <c r="AQ119" i="1"/>
  <c r="AR119" i="1"/>
  <c r="AR121" i="1" s="1"/>
  <c r="AR122" i="1" s="1"/>
  <c r="AS119" i="1"/>
  <c r="AS121" i="1" s="1"/>
  <c r="AS122" i="1" s="1"/>
  <c r="AT119" i="1"/>
  <c r="AT121" i="1" s="1"/>
  <c r="AT122" i="1" s="1"/>
  <c r="AU119" i="1"/>
  <c r="AU121" i="1" s="1"/>
  <c r="AU122" i="1" s="1"/>
  <c r="AV119" i="1"/>
  <c r="AV121" i="1" s="1"/>
  <c r="AV122" i="1" s="1"/>
  <c r="AO120" i="1"/>
  <c r="AQ120" i="1"/>
  <c r="AQ121" i="1" s="1"/>
  <c r="AR120" i="1"/>
  <c r="AS120" i="1"/>
  <c r="AT120" i="1"/>
  <c r="AU120" i="1"/>
  <c r="AV120" i="1"/>
  <c r="AO121" i="1"/>
  <c r="H122" i="1"/>
  <c r="J122" i="1"/>
  <c r="L122" i="1"/>
  <c r="S122" i="1"/>
  <c r="V122" i="1"/>
  <c r="W122" i="1"/>
  <c r="Y122" i="1"/>
  <c r="Z122" i="1"/>
  <c r="AO122" i="1"/>
  <c r="AP122" i="1"/>
  <c r="AQ122" i="1"/>
  <c r="AW129" i="1"/>
  <c r="H130" i="1"/>
  <c r="I130" i="1"/>
  <c r="K130" i="1"/>
  <c r="L130" i="1"/>
  <c r="M130" i="1"/>
  <c r="Q137" i="1" s="1"/>
  <c r="N130" i="1"/>
  <c r="O130" i="1"/>
  <c r="P130" i="1"/>
  <c r="Q130" i="1"/>
  <c r="U137" i="1" s="1"/>
  <c r="S130" i="1"/>
  <c r="T130" i="1"/>
  <c r="U130" i="1"/>
  <c r="V130" i="1"/>
  <c r="W130" i="1"/>
  <c r="X130" i="1"/>
  <c r="Y130" i="1"/>
  <c r="AA130" i="1"/>
  <c r="AB130" i="1"/>
  <c r="AC130" i="1"/>
  <c r="AG137" i="1" s="1"/>
  <c r="AD130" i="1"/>
  <c r="AD144" i="1" s="1"/>
  <c r="AE130" i="1"/>
  <c r="AE144" i="1" s="1"/>
  <c r="AF130" i="1"/>
  <c r="AG130" i="1"/>
  <c r="AO130" i="1"/>
  <c r="AQ130" i="1"/>
  <c r="AR130" i="1"/>
  <c r="AS130" i="1"/>
  <c r="AT130" i="1"/>
  <c r="AU130" i="1"/>
  <c r="L133" i="1"/>
  <c r="M133" i="1"/>
  <c r="N133" i="1"/>
  <c r="O133" i="1"/>
  <c r="P133" i="1"/>
  <c r="Q133" i="1"/>
  <c r="R133" i="1"/>
  <c r="S133" i="1"/>
  <c r="T133" i="1"/>
  <c r="U133" i="1"/>
  <c r="V133" i="1"/>
  <c r="W133" i="1"/>
  <c r="X133" i="1"/>
  <c r="Y133" i="1"/>
  <c r="Z133" i="1"/>
  <c r="AA133" i="1"/>
  <c r="AB133" i="1"/>
  <c r="AC133" i="1"/>
  <c r="AD133" i="1"/>
  <c r="AE133" i="1"/>
  <c r="AF133" i="1"/>
  <c r="AG133" i="1"/>
  <c r="AH133" i="1"/>
  <c r="AP133" i="1"/>
  <c r="AQ133" i="1"/>
  <c r="AR133" i="1"/>
  <c r="AS133" i="1"/>
  <c r="AT133" i="1"/>
  <c r="AU133" i="1"/>
  <c r="AV133" i="1"/>
  <c r="L134" i="1"/>
  <c r="M134" i="1"/>
  <c r="N134" i="1"/>
  <c r="O134" i="1"/>
  <c r="P134" i="1"/>
  <c r="Q134" i="1"/>
  <c r="R134" i="1"/>
  <c r="S134" i="1"/>
  <c r="T134" i="1"/>
  <c r="U134" i="1"/>
  <c r="V134" i="1"/>
  <c r="W134" i="1"/>
  <c r="X134" i="1"/>
  <c r="Y134" i="1"/>
  <c r="Z134" i="1"/>
  <c r="AA134" i="1"/>
  <c r="AB134" i="1"/>
  <c r="AC134" i="1"/>
  <c r="AD134" i="1"/>
  <c r="AE134" i="1"/>
  <c r="AF134" i="1"/>
  <c r="AG134" i="1"/>
  <c r="AH134" i="1"/>
  <c r="AP134" i="1"/>
  <c r="AQ134" i="1"/>
  <c r="AR134" i="1"/>
  <c r="AS134" i="1"/>
  <c r="AT134" i="1"/>
  <c r="AU134" i="1"/>
  <c r="AV134" i="1"/>
  <c r="L135" i="1"/>
  <c r="M135" i="1"/>
  <c r="O135" i="1"/>
  <c r="P135" i="1"/>
  <c r="Q135" i="1"/>
  <c r="S135" i="1"/>
  <c r="T135" i="1"/>
  <c r="U135" i="1"/>
  <c r="W135" i="1"/>
  <c r="X135" i="1"/>
  <c r="Y135" i="1"/>
  <c r="AA135" i="1"/>
  <c r="AB135" i="1"/>
  <c r="AC135" i="1"/>
  <c r="AE135" i="1"/>
  <c r="AF135" i="1"/>
  <c r="AG135" i="1"/>
  <c r="AR135" i="1"/>
  <c r="AS135" i="1"/>
  <c r="AT135" i="1"/>
  <c r="AU135" i="1"/>
  <c r="L136" i="1"/>
  <c r="M136" i="1"/>
  <c r="N136" i="1"/>
  <c r="O136" i="1"/>
  <c r="P136" i="1"/>
  <c r="Q136" i="1"/>
  <c r="R136" i="1"/>
  <c r="S136" i="1"/>
  <c r="T136" i="1"/>
  <c r="U136" i="1"/>
  <c r="V136" i="1"/>
  <c r="W136" i="1"/>
  <c r="X136" i="1"/>
  <c r="Y136" i="1"/>
  <c r="Z136" i="1"/>
  <c r="AA136" i="1"/>
  <c r="AB136" i="1"/>
  <c r="AC136" i="1"/>
  <c r="AD136" i="1"/>
  <c r="AE136" i="1"/>
  <c r="AF136" i="1"/>
  <c r="AG136" i="1"/>
  <c r="AH136" i="1"/>
  <c r="AI136" i="1"/>
  <c r="AJ136" i="1"/>
  <c r="AK136" i="1"/>
  <c r="AL136" i="1"/>
  <c r="AM136" i="1"/>
  <c r="AP136" i="1"/>
  <c r="AQ136" i="1"/>
  <c r="AR136" i="1"/>
  <c r="AS136" i="1"/>
  <c r="AT136" i="1"/>
  <c r="AU136" i="1"/>
  <c r="AV136" i="1"/>
  <c r="AW136" i="1"/>
  <c r="L137" i="1"/>
  <c r="M137" i="1"/>
  <c r="O137" i="1"/>
  <c r="W137" i="1"/>
  <c r="X137" i="1"/>
  <c r="Y137" i="1"/>
  <c r="AA137" i="1"/>
  <c r="AB137" i="1"/>
  <c r="AC137" i="1"/>
  <c r="AE137" i="1"/>
  <c r="AR137" i="1"/>
  <c r="AS137" i="1"/>
  <c r="AT137" i="1"/>
  <c r="AU137" i="1"/>
  <c r="I140" i="1"/>
  <c r="J140" i="1"/>
  <c r="K140" i="1"/>
  <c r="L140" i="1"/>
  <c r="M140" i="1"/>
  <c r="N140" i="1"/>
  <c r="O140" i="1"/>
  <c r="P140" i="1"/>
  <c r="Q140" i="1"/>
  <c r="R140" i="1"/>
  <c r="S140" i="1"/>
  <c r="T140" i="1"/>
  <c r="U140" i="1"/>
  <c r="V140" i="1"/>
  <c r="W140" i="1"/>
  <c r="X140" i="1"/>
  <c r="Y140" i="1"/>
  <c r="Z140" i="1"/>
  <c r="AA140" i="1"/>
  <c r="AB140" i="1"/>
  <c r="AC140" i="1"/>
  <c r="AD140" i="1"/>
  <c r="AE140" i="1"/>
  <c r="AF140" i="1"/>
  <c r="AG140" i="1"/>
  <c r="AH140" i="1"/>
  <c r="I141" i="1"/>
  <c r="J141" i="1"/>
  <c r="K141" i="1"/>
  <c r="L141" i="1"/>
  <c r="M141" i="1"/>
  <c r="N141" i="1"/>
  <c r="O141" i="1"/>
  <c r="P141" i="1"/>
  <c r="Q141" i="1"/>
  <c r="R141" i="1"/>
  <c r="S141" i="1"/>
  <c r="T141" i="1"/>
  <c r="U141" i="1"/>
  <c r="V141" i="1"/>
  <c r="W141" i="1"/>
  <c r="X141" i="1"/>
  <c r="Y141" i="1"/>
  <c r="Z141" i="1"/>
  <c r="AA141" i="1"/>
  <c r="AB141" i="1"/>
  <c r="AC141" i="1"/>
  <c r="AD141" i="1"/>
  <c r="AE141" i="1"/>
  <c r="AF141" i="1"/>
  <c r="AG141" i="1"/>
  <c r="AH141" i="1"/>
  <c r="I142" i="1"/>
  <c r="L142" i="1"/>
  <c r="M142" i="1"/>
  <c r="N142" i="1"/>
  <c r="O142" i="1"/>
  <c r="P142" i="1"/>
  <c r="Q142" i="1"/>
  <c r="T142" i="1"/>
  <c r="U142" i="1"/>
  <c r="V142" i="1"/>
  <c r="W142" i="1"/>
  <c r="X142" i="1"/>
  <c r="Y142" i="1"/>
  <c r="AB142" i="1"/>
  <c r="AC142" i="1"/>
  <c r="AD142" i="1"/>
  <c r="AE142" i="1"/>
  <c r="AF142" i="1"/>
  <c r="AG142" i="1"/>
  <c r="I143" i="1"/>
  <c r="J143" i="1"/>
  <c r="K143" i="1"/>
  <c r="L143" i="1"/>
  <c r="M143" i="1"/>
  <c r="N143" i="1"/>
  <c r="O143" i="1"/>
  <c r="P143" i="1"/>
  <c r="Q143" i="1"/>
  <c r="R143" i="1"/>
  <c r="S143" i="1"/>
  <c r="T143" i="1"/>
  <c r="U143" i="1"/>
  <c r="V143" i="1"/>
  <c r="W143" i="1"/>
  <c r="X143" i="1"/>
  <c r="Y143" i="1"/>
  <c r="Z143" i="1"/>
  <c r="AA143" i="1"/>
  <c r="AB143" i="1"/>
  <c r="AC143" i="1"/>
  <c r="AD143" i="1"/>
  <c r="AE143" i="1"/>
  <c r="AF143" i="1"/>
  <c r="AG143" i="1"/>
  <c r="AH143" i="1"/>
  <c r="AI143" i="1"/>
  <c r="AJ143" i="1"/>
  <c r="AK143" i="1"/>
  <c r="AL143" i="1"/>
  <c r="AM143" i="1"/>
  <c r="I144" i="1"/>
  <c r="L144" i="1"/>
  <c r="M144" i="1"/>
  <c r="T144" i="1"/>
  <c r="U144" i="1"/>
  <c r="V144" i="1"/>
  <c r="W144" i="1"/>
  <c r="X144" i="1"/>
  <c r="Y144" i="1"/>
  <c r="AB144" i="1"/>
  <c r="AC144" i="1"/>
  <c r="H200" i="1"/>
  <c r="H170" i="1"/>
  <c r="I200" i="1"/>
  <c r="I170" i="1"/>
  <c r="J200" i="1"/>
  <c r="J170" i="1"/>
  <c r="K200" i="1"/>
  <c r="K170" i="1"/>
  <c r="L200" i="1"/>
  <c r="L170" i="1"/>
  <c r="M200" i="1"/>
  <c r="M170" i="1"/>
  <c r="M172" i="1" s="1"/>
  <c r="N200" i="1"/>
  <c r="N170" i="1"/>
  <c r="AO200" i="1"/>
  <c r="AO170" i="1"/>
  <c r="AO185" i="1"/>
  <c r="AO149" i="1"/>
  <c r="AP200" i="1"/>
  <c r="AP224" i="1"/>
  <c r="AP170" i="1"/>
  <c r="AO201" i="1"/>
  <c r="AO150" i="1" s="1"/>
  <c r="AO171" i="1"/>
  <c r="AO172" i="1" s="1"/>
  <c r="AO186" i="1"/>
  <c r="AP201" i="1"/>
  <c r="AP171" i="1"/>
  <c r="AO151" i="1"/>
  <c r="H203" i="1"/>
  <c r="H152" i="1" s="1"/>
  <c r="I203" i="1"/>
  <c r="I152" i="1"/>
  <c r="J203" i="1"/>
  <c r="J152" i="1" s="1"/>
  <c r="K203" i="1"/>
  <c r="K152" i="1" s="1"/>
  <c r="L203" i="1"/>
  <c r="L152" i="1"/>
  <c r="M203" i="1"/>
  <c r="N203" i="1"/>
  <c r="O203" i="1"/>
  <c r="O152" i="1" s="1"/>
  <c r="P203" i="1"/>
  <c r="P152" i="1" s="1"/>
  <c r="P166" i="1" s="1"/>
  <c r="Q203" i="1"/>
  <c r="Q152" i="1"/>
  <c r="S203" i="1"/>
  <c r="S152" i="1" s="1"/>
  <c r="S166" i="1" s="1"/>
  <c r="T203" i="1"/>
  <c r="T152" i="1"/>
  <c r="U203" i="1"/>
  <c r="U152" i="1"/>
  <c r="V203" i="1"/>
  <c r="V152" i="1"/>
  <c r="W203" i="1"/>
  <c r="W152" i="1"/>
  <c r="W159" i="1" s="1"/>
  <c r="X203" i="1"/>
  <c r="X152" i="1" s="1"/>
  <c r="X159" i="1" s="1"/>
  <c r="Y203" i="1"/>
  <c r="Y152" i="1" s="1"/>
  <c r="Z203" i="1"/>
  <c r="Z152" i="1"/>
  <c r="AA203" i="1"/>
  <c r="AA152" i="1" s="1"/>
  <c r="AB203" i="1"/>
  <c r="AB152" i="1" s="1"/>
  <c r="AC203" i="1"/>
  <c r="AC152" i="1"/>
  <c r="AD203" i="1"/>
  <c r="AD152" i="1"/>
  <c r="AH159" i="1" s="1"/>
  <c r="AE203" i="1"/>
  <c r="AE152" i="1" s="1"/>
  <c r="AF203" i="1"/>
  <c r="AF152" i="1" s="1"/>
  <c r="AG203" i="1"/>
  <c r="AG152" i="1" s="1"/>
  <c r="AG159" i="1" s="1"/>
  <c r="AH152" i="1"/>
  <c r="AO203" i="1"/>
  <c r="AO152" i="1" s="1"/>
  <c r="AP203" i="1"/>
  <c r="AP152" i="1"/>
  <c r="AX152" i="1"/>
  <c r="S159" i="1"/>
  <c r="T159" i="1"/>
  <c r="U159" i="1"/>
  <c r="AD159" i="1"/>
  <c r="AL159" i="1"/>
  <c r="AM159" i="1"/>
  <c r="J166" i="1"/>
  <c r="Q166" i="1"/>
  <c r="R166" i="1"/>
  <c r="U166" i="1"/>
  <c r="V166" i="1"/>
  <c r="W166" i="1"/>
  <c r="AA166" i="1"/>
  <c r="AH166" i="1"/>
  <c r="AI166" i="1"/>
  <c r="AJ166" i="1"/>
  <c r="AK166" i="1"/>
  <c r="AL166" i="1"/>
  <c r="AM166" i="1"/>
  <c r="AQ170" i="1"/>
  <c r="AR170" i="1"/>
  <c r="AS170" i="1"/>
  <c r="AT170" i="1"/>
  <c r="AT175" i="1" s="1"/>
  <c r="AV170" i="1"/>
  <c r="AW170" i="1"/>
  <c r="AQ171" i="1"/>
  <c r="AR171" i="1"/>
  <c r="AR176" i="1" s="1"/>
  <c r="AS171" i="1"/>
  <c r="AV171" i="1"/>
  <c r="AW171" i="1"/>
  <c r="H172" i="1"/>
  <c r="I172" i="1"/>
  <c r="I182" i="1" s="1"/>
  <c r="J172" i="1"/>
  <c r="K172" i="1"/>
  <c r="L172" i="1"/>
  <c r="N172" i="1"/>
  <c r="O172" i="1"/>
  <c r="P172" i="1"/>
  <c r="Q172" i="1"/>
  <c r="Q182" i="1" s="1"/>
  <c r="R172" i="1"/>
  <c r="S172" i="1"/>
  <c r="U172" i="1"/>
  <c r="U177" i="1" s="1"/>
  <c r="V172" i="1"/>
  <c r="V177" i="1" s="1"/>
  <c r="W172" i="1"/>
  <c r="W177" i="1" s="1"/>
  <c r="Y172" i="1"/>
  <c r="Z172" i="1"/>
  <c r="AA172" i="1"/>
  <c r="AB172" i="1"/>
  <c r="AB182" i="1" s="1"/>
  <c r="AC172" i="1"/>
  <c r="AD172" i="1"/>
  <c r="AE172" i="1"/>
  <c r="AF172" i="1"/>
  <c r="AG172" i="1"/>
  <c r="AG182" i="1" s="1"/>
  <c r="AH172" i="1"/>
  <c r="AS172" i="1"/>
  <c r="AV172" i="1"/>
  <c r="AW172" i="1"/>
  <c r="L175" i="1"/>
  <c r="N175" i="1"/>
  <c r="O175" i="1"/>
  <c r="P175" i="1"/>
  <c r="R175" i="1"/>
  <c r="S175" i="1"/>
  <c r="T175" i="1"/>
  <c r="U175" i="1"/>
  <c r="V175" i="1"/>
  <c r="W175" i="1"/>
  <c r="Y175" i="1"/>
  <c r="Z175" i="1"/>
  <c r="AA175" i="1"/>
  <c r="AC175" i="1"/>
  <c r="AD175" i="1"/>
  <c r="AE175" i="1"/>
  <c r="AF175" i="1"/>
  <c r="AG175" i="1"/>
  <c r="AH175" i="1"/>
  <c r="AI175" i="1"/>
  <c r="AJ175" i="1"/>
  <c r="AK175" i="1"/>
  <c r="AM175" i="1"/>
  <c r="AP175" i="1"/>
  <c r="AQ175" i="1"/>
  <c r="AR175" i="1"/>
  <c r="AW175" i="1"/>
  <c r="L176" i="1"/>
  <c r="M176" i="1"/>
  <c r="N176" i="1"/>
  <c r="O176" i="1"/>
  <c r="P176" i="1"/>
  <c r="Q176" i="1"/>
  <c r="R176" i="1"/>
  <c r="S176" i="1"/>
  <c r="U176" i="1"/>
  <c r="V176" i="1"/>
  <c r="W176" i="1"/>
  <c r="Y176" i="1"/>
  <c r="Z176" i="1"/>
  <c r="AA176" i="1"/>
  <c r="AC176" i="1"/>
  <c r="AD176" i="1"/>
  <c r="AE176" i="1"/>
  <c r="AF176" i="1"/>
  <c r="AG176" i="1"/>
  <c r="AH176" i="1"/>
  <c r="AI176" i="1"/>
  <c r="AJ176" i="1"/>
  <c r="AS176" i="1"/>
  <c r="AW176" i="1"/>
  <c r="N177" i="1"/>
  <c r="P177" i="1"/>
  <c r="R177" i="1"/>
  <c r="S177" i="1"/>
  <c r="Z177" i="1"/>
  <c r="AD177" i="1"/>
  <c r="AF177" i="1"/>
  <c r="AG177" i="1"/>
  <c r="AH177" i="1"/>
  <c r="AI177" i="1"/>
  <c r="AJ177" i="1"/>
  <c r="I180" i="1"/>
  <c r="J180" i="1"/>
  <c r="K180" i="1"/>
  <c r="L180" i="1"/>
  <c r="O180" i="1"/>
  <c r="P180" i="1"/>
  <c r="Q180" i="1"/>
  <c r="R180" i="1"/>
  <c r="S180" i="1"/>
  <c r="T180" i="1"/>
  <c r="U180" i="1"/>
  <c r="V180" i="1"/>
  <c r="W180" i="1"/>
  <c r="Z180" i="1"/>
  <c r="AA180" i="1"/>
  <c r="AB180" i="1"/>
  <c r="AC180" i="1"/>
  <c r="AD180" i="1"/>
  <c r="AE180" i="1"/>
  <c r="AF180" i="1"/>
  <c r="AG180" i="1"/>
  <c r="AH180" i="1"/>
  <c r="AI180" i="1"/>
  <c r="AJ180" i="1"/>
  <c r="AK180" i="1"/>
  <c r="I181" i="1"/>
  <c r="J181" i="1"/>
  <c r="K181" i="1"/>
  <c r="L181" i="1"/>
  <c r="M181" i="1"/>
  <c r="N181" i="1"/>
  <c r="O181" i="1"/>
  <c r="P181" i="1"/>
  <c r="Q181" i="1"/>
  <c r="R181" i="1"/>
  <c r="S181" i="1"/>
  <c r="V181" i="1"/>
  <c r="W181" i="1"/>
  <c r="Z181" i="1"/>
  <c r="AA181" i="1"/>
  <c r="AB181" i="1"/>
  <c r="AC181" i="1"/>
  <c r="AD181" i="1"/>
  <c r="AE181" i="1"/>
  <c r="AF181" i="1"/>
  <c r="AG181" i="1"/>
  <c r="AH181" i="1"/>
  <c r="AI181" i="1"/>
  <c r="AJ181" i="1"/>
  <c r="J182" i="1"/>
  <c r="O182" i="1"/>
  <c r="P182" i="1"/>
  <c r="R182" i="1"/>
  <c r="S182" i="1"/>
  <c r="V182" i="1"/>
  <c r="W182" i="1"/>
  <c r="Z182" i="1"/>
  <c r="AD182" i="1"/>
  <c r="AE182" i="1"/>
  <c r="AF182" i="1"/>
  <c r="AH182" i="1"/>
  <c r="AI182" i="1"/>
  <c r="AJ182" i="1"/>
  <c r="AO187" i="1"/>
  <c r="AQ200" i="1"/>
  <c r="AR200" i="1"/>
  <c r="AR207" i="1" s="1"/>
  <c r="AS200" i="1"/>
  <c r="AT200" i="1"/>
  <c r="AU200" i="1"/>
  <c r="AV200" i="1"/>
  <c r="AQ201" i="1"/>
  <c r="AR201" i="1"/>
  <c r="AS201" i="1"/>
  <c r="AS208" i="1" s="1"/>
  <c r="AT201" i="1"/>
  <c r="AT208" i="1" s="1"/>
  <c r="AU201" i="1"/>
  <c r="AU208" i="1" s="1"/>
  <c r="AV201" i="1"/>
  <c r="AV208" i="1" s="1"/>
  <c r="H202" i="1"/>
  <c r="I202" i="1"/>
  <c r="J202" i="1"/>
  <c r="J204" i="1" s="1"/>
  <c r="K202" i="1"/>
  <c r="L202" i="1"/>
  <c r="AR202" i="1" s="1"/>
  <c r="M202" i="1"/>
  <c r="N202" i="1"/>
  <c r="O202" i="1"/>
  <c r="O204" i="1" s="1"/>
  <c r="O211" i="1" s="1"/>
  <c r="P202" i="1"/>
  <c r="Q202" i="1"/>
  <c r="AS202" i="1" s="1"/>
  <c r="AS209" i="1" s="1"/>
  <c r="R202" i="1"/>
  <c r="S202" i="1"/>
  <c r="S209" i="1" s="1"/>
  <c r="T202" i="1"/>
  <c r="T209" i="1" s="1"/>
  <c r="U202" i="1"/>
  <c r="U209" i="1" s="1"/>
  <c r="V202" i="1"/>
  <c r="W202" i="1"/>
  <c r="X202" i="1"/>
  <c r="X204" i="1" s="1"/>
  <c r="Y202" i="1"/>
  <c r="Z202" i="1"/>
  <c r="Z204" i="1" s="1"/>
  <c r="AA202" i="1"/>
  <c r="AB202" i="1"/>
  <c r="AB204" i="1" s="1"/>
  <c r="AC202" i="1"/>
  <c r="AD202" i="1"/>
  <c r="AE202" i="1"/>
  <c r="AE204" i="1" s="1"/>
  <c r="AE211" i="1" s="1"/>
  <c r="AF202" i="1"/>
  <c r="AO202" i="1"/>
  <c r="AO204" i="1" s="1"/>
  <c r="AP202" i="1"/>
  <c r="AV202" i="1"/>
  <c r="AQ203" i="1"/>
  <c r="AS203" i="1"/>
  <c r="AT203" i="1"/>
  <c r="AU203" i="1"/>
  <c r="AU210" i="1" s="1"/>
  <c r="AV203" i="1"/>
  <c r="AW203" i="1"/>
  <c r="AW210" i="1" s="1"/>
  <c r="AX203" i="1"/>
  <c r="AX210" i="1" s="1"/>
  <c r="K204" i="1"/>
  <c r="P204" i="1"/>
  <c r="Q204" i="1"/>
  <c r="R204" i="1"/>
  <c r="T204" i="1"/>
  <c r="U204" i="1"/>
  <c r="W204" i="1"/>
  <c r="AA204" i="1"/>
  <c r="AC204" i="1"/>
  <c r="AD204" i="1"/>
  <c r="AF204" i="1"/>
  <c r="AQ205" i="1"/>
  <c r="AR205" i="1"/>
  <c r="AS205" i="1"/>
  <c r="AT205" i="1"/>
  <c r="AU205" i="1"/>
  <c r="AV205" i="1"/>
  <c r="L207" i="1"/>
  <c r="M207" i="1"/>
  <c r="N207" i="1"/>
  <c r="O207" i="1"/>
  <c r="P207" i="1"/>
  <c r="Q207" i="1"/>
  <c r="R207" i="1"/>
  <c r="S207" i="1"/>
  <c r="T207" i="1"/>
  <c r="U207" i="1"/>
  <c r="V207" i="1"/>
  <c r="W207" i="1"/>
  <c r="X207" i="1"/>
  <c r="Y207" i="1"/>
  <c r="Z207" i="1"/>
  <c r="AA207" i="1"/>
  <c r="AB207" i="1"/>
  <c r="AC207" i="1"/>
  <c r="AD207" i="1"/>
  <c r="AE207" i="1"/>
  <c r="AF207" i="1"/>
  <c r="AG207" i="1"/>
  <c r="AP207" i="1"/>
  <c r="AQ207" i="1"/>
  <c r="AS207" i="1"/>
  <c r="AT207" i="1"/>
  <c r="AU207" i="1"/>
  <c r="AV207" i="1"/>
  <c r="L208" i="1"/>
  <c r="M208" i="1"/>
  <c r="N208" i="1"/>
  <c r="O208" i="1"/>
  <c r="P208" i="1"/>
  <c r="Q208" i="1"/>
  <c r="R208" i="1"/>
  <c r="S208" i="1"/>
  <c r="T208" i="1"/>
  <c r="U208" i="1"/>
  <c r="V208" i="1"/>
  <c r="W208" i="1"/>
  <c r="X208" i="1"/>
  <c r="Y208" i="1"/>
  <c r="Z208" i="1"/>
  <c r="AA208" i="1"/>
  <c r="AB208" i="1"/>
  <c r="AC208" i="1"/>
  <c r="AD208" i="1"/>
  <c r="AE208" i="1"/>
  <c r="AF208" i="1"/>
  <c r="AH208" i="1"/>
  <c r="AP208" i="1"/>
  <c r="AQ208" i="1"/>
  <c r="AR208" i="1"/>
  <c r="N209" i="1"/>
  <c r="O209" i="1"/>
  <c r="P209" i="1"/>
  <c r="Q209" i="1"/>
  <c r="R209" i="1"/>
  <c r="AA209" i="1"/>
  <c r="AD209" i="1"/>
  <c r="AE209" i="1"/>
  <c r="AF209" i="1"/>
  <c r="L210" i="1"/>
  <c r="O210" i="1"/>
  <c r="P210" i="1"/>
  <c r="S210" i="1"/>
  <c r="T210" i="1"/>
  <c r="U210" i="1"/>
  <c r="V210" i="1"/>
  <c r="W210" i="1"/>
  <c r="X210" i="1"/>
  <c r="Y210" i="1"/>
  <c r="Z210" i="1"/>
  <c r="AA210" i="1"/>
  <c r="AB210" i="1"/>
  <c r="AC210" i="1"/>
  <c r="AD210" i="1"/>
  <c r="AE210" i="1"/>
  <c r="AF210" i="1"/>
  <c r="AG210" i="1"/>
  <c r="AH210" i="1"/>
  <c r="AI210" i="1"/>
  <c r="AJ210" i="1"/>
  <c r="AK210" i="1"/>
  <c r="AL210" i="1"/>
  <c r="AM210" i="1"/>
  <c r="AP210" i="1"/>
  <c r="AQ210" i="1"/>
  <c r="AT210" i="1"/>
  <c r="I214" i="1"/>
  <c r="J214" i="1"/>
  <c r="K214" i="1"/>
  <c r="L214" i="1"/>
  <c r="M214" i="1"/>
  <c r="N214" i="1"/>
  <c r="O214" i="1"/>
  <c r="P214" i="1"/>
  <c r="Q214" i="1"/>
  <c r="R214" i="1"/>
  <c r="S214" i="1"/>
  <c r="T214" i="1"/>
  <c r="U214" i="1"/>
  <c r="V214" i="1"/>
  <c r="W214" i="1"/>
  <c r="X214" i="1"/>
  <c r="Y214" i="1"/>
  <c r="Z214" i="1"/>
  <c r="AA214" i="1"/>
  <c r="AB214" i="1"/>
  <c r="AC214" i="1"/>
  <c r="AD214" i="1"/>
  <c r="AE214" i="1"/>
  <c r="AF214" i="1"/>
  <c r="AG214" i="1"/>
  <c r="I215" i="1"/>
  <c r="J215" i="1"/>
  <c r="K215" i="1"/>
  <c r="L215" i="1"/>
  <c r="M215" i="1"/>
  <c r="N215" i="1"/>
  <c r="O215" i="1"/>
  <c r="P215" i="1"/>
  <c r="Q215" i="1"/>
  <c r="R215" i="1"/>
  <c r="S215" i="1"/>
  <c r="T215" i="1"/>
  <c r="U215" i="1"/>
  <c r="V215" i="1"/>
  <c r="W215" i="1"/>
  <c r="X215" i="1"/>
  <c r="Y215" i="1"/>
  <c r="Z215" i="1"/>
  <c r="AA215" i="1"/>
  <c r="AB215" i="1"/>
  <c r="AC215" i="1"/>
  <c r="AD215" i="1"/>
  <c r="AE215" i="1"/>
  <c r="AF215" i="1"/>
  <c r="K216" i="1"/>
  <c r="L216" i="1"/>
  <c r="M216" i="1"/>
  <c r="N216" i="1"/>
  <c r="O216" i="1"/>
  <c r="P216" i="1"/>
  <c r="Q216" i="1"/>
  <c r="R216" i="1"/>
  <c r="AA216" i="1"/>
  <c r="AB216" i="1"/>
  <c r="AC216" i="1"/>
  <c r="AD216" i="1"/>
  <c r="AE216" i="1"/>
  <c r="AF216" i="1"/>
  <c r="I217" i="1"/>
  <c r="J217" i="1"/>
  <c r="K217" i="1"/>
  <c r="L217" i="1"/>
  <c r="O217" i="1"/>
  <c r="P217" i="1"/>
  <c r="Q217" i="1"/>
  <c r="R217" i="1"/>
  <c r="S217" i="1"/>
  <c r="T217" i="1"/>
  <c r="U217" i="1"/>
  <c r="V217" i="1"/>
  <c r="W217" i="1"/>
  <c r="X217" i="1"/>
  <c r="Y217" i="1"/>
  <c r="Z217" i="1"/>
  <c r="AA217" i="1"/>
  <c r="AB217" i="1"/>
  <c r="AC217" i="1"/>
  <c r="AD217" i="1"/>
  <c r="AE217" i="1"/>
  <c r="AF217" i="1"/>
  <c r="AG217" i="1"/>
  <c r="AH217" i="1"/>
  <c r="AI217" i="1"/>
  <c r="AJ217" i="1"/>
  <c r="AK217" i="1"/>
  <c r="AL217" i="1"/>
  <c r="AM217" i="1"/>
  <c r="P218" i="1"/>
  <c r="Q218" i="1"/>
  <c r="R218" i="1"/>
  <c r="AD218" i="1"/>
  <c r="T223" i="1"/>
  <c r="U223" i="1"/>
  <c r="V223" i="1"/>
  <c r="W223" i="1"/>
  <c r="AU223" i="1"/>
  <c r="AV223" i="1"/>
  <c r="AW223" i="1"/>
  <c r="AQ224" i="1"/>
  <c r="AR224" i="1"/>
  <c r="AS224" i="1"/>
  <c r="AS232" i="1" s="1"/>
  <c r="AT224" i="1"/>
  <c r="AU224" i="1"/>
  <c r="AV224" i="1"/>
  <c r="AW224" i="1"/>
  <c r="AX224" i="1"/>
  <c r="X225" i="1"/>
  <c r="Y225" i="1"/>
  <c r="Z225" i="1"/>
  <c r="AA225" i="1"/>
  <c r="AB225" i="1"/>
  <c r="AB233" i="1" s="1"/>
  <c r="AC225" i="1"/>
  <c r="AD225" i="1"/>
  <c r="AD240" i="1" s="1"/>
  <c r="AE225" i="1"/>
  <c r="AF225" i="1"/>
  <c r="AG225" i="1"/>
  <c r="AH225" i="1"/>
  <c r="AI225" i="1"/>
  <c r="AJ225" i="1"/>
  <c r="AK225" i="1"/>
  <c r="AL225" i="1"/>
  <c r="AU225" i="1"/>
  <c r="AP227" i="1"/>
  <c r="AP235" i="1" s="1"/>
  <c r="AP228" i="1"/>
  <c r="AQ228" i="1"/>
  <c r="AR228" i="1"/>
  <c r="AS228" i="1"/>
  <c r="AT228" i="1"/>
  <c r="AU228" i="1"/>
  <c r="AV228" i="1"/>
  <c r="AB231" i="1"/>
  <c r="AC231" i="1"/>
  <c r="AD231" i="1"/>
  <c r="AE231" i="1"/>
  <c r="AV231" i="1"/>
  <c r="AW231" i="1"/>
  <c r="H232" i="1"/>
  <c r="I232" i="1"/>
  <c r="J232" i="1"/>
  <c r="K232" i="1"/>
  <c r="L232" i="1"/>
  <c r="M232" i="1"/>
  <c r="N232" i="1"/>
  <c r="O232" i="1"/>
  <c r="P232" i="1"/>
  <c r="Q232" i="1"/>
  <c r="R232" i="1"/>
  <c r="S232" i="1"/>
  <c r="T232" i="1"/>
  <c r="U232" i="1"/>
  <c r="V232" i="1"/>
  <c r="W232" i="1"/>
  <c r="X232" i="1"/>
  <c r="Y232" i="1"/>
  <c r="Z232" i="1"/>
  <c r="AA232" i="1"/>
  <c r="AB232" i="1"/>
  <c r="AC232" i="1"/>
  <c r="AD232" i="1"/>
  <c r="AE232" i="1"/>
  <c r="AP232" i="1"/>
  <c r="AQ232" i="1"/>
  <c r="AR232" i="1"/>
  <c r="AC233" i="1"/>
  <c r="AH233" i="1"/>
  <c r="AI233" i="1"/>
  <c r="H235" i="1"/>
  <c r="I235" i="1"/>
  <c r="U238" i="1"/>
  <c r="V238" i="1"/>
  <c r="W238" i="1"/>
  <c r="X238" i="1"/>
  <c r="Y238" i="1"/>
  <c r="Z238" i="1"/>
  <c r="AA238" i="1"/>
  <c r="AB238" i="1"/>
  <c r="AC238" i="1"/>
  <c r="AD238" i="1"/>
  <c r="AE238" i="1"/>
  <c r="AF238" i="1"/>
  <c r="AG238" i="1"/>
  <c r="AH238" i="1"/>
  <c r="AI238" i="1"/>
  <c r="AJ238" i="1"/>
  <c r="AK238" i="1"/>
  <c r="AL238" i="1"/>
  <c r="E239" i="1"/>
  <c r="F239" i="1"/>
  <c r="G239" i="1"/>
  <c r="H239" i="1"/>
  <c r="I239" i="1"/>
  <c r="J239" i="1"/>
  <c r="K239" i="1"/>
  <c r="L239" i="1"/>
  <c r="M239" i="1"/>
  <c r="N239" i="1"/>
  <c r="O239" i="1"/>
  <c r="P239" i="1"/>
  <c r="Q239" i="1"/>
  <c r="R239" i="1"/>
  <c r="S239" i="1"/>
  <c r="T239" i="1"/>
  <c r="U239" i="1"/>
  <c r="V239" i="1"/>
  <c r="W239" i="1"/>
  <c r="X239" i="1"/>
  <c r="Y239" i="1"/>
  <c r="Z239" i="1"/>
  <c r="AA239" i="1"/>
  <c r="AB239" i="1"/>
  <c r="AC239" i="1"/>
  <c r="AD239" i="1"/>
  <c r="AE239" i="1"/>
  <c r="AF239" i="1"/>
  <c r="AG239" i="1"/>
  <c r="AH239" i="1"/>
  <c r="AI239" i="1"/>
  <c r="AJ239" i="1"/>
  <c r="AK239" i="1"/>
  <c r="AL239" i="1"/>
  <c r="AM239" i="1"/>
  <c r="Y240" i="1"/>
  <c r="Z240" i="1"/>
  <c r="AA240" i="1"/>
  <c r="AB240" i="1"/>
  <c r="AC240" i="1"/>
  <c r="AF240" i="1"/>
  <c r="AG240" i="1"/>
  <c r="AH240" i="1"/>
  <c r="AI240" i="1"/>
  <c r="AJ240" i="1"/>
  <c r="AK240" i="1"/>
  <c r="AL240" i="1"/>
  <c r="E242" i="1"/>
  <c r="F242" i="1"/>
  <c r="G242" i="1"/>
  <c r="H242" i="1"/>
  <c r="I242" i="1"/>
  <c r="AR245" i="1"/>
  <c r="AS245" i="1"/>
  <c r="AT245" i="1"/>
  <c r="AU245" i="1"/>
  <c r="AV245" i="1"/>
  <c r="AZ245" i="1" s="1"/>
  <c r="AP246" i="1"/>
  <c r="AP254" i="1" s="1"/>
  <c r="AQ246" i="1"/>
  <c r="AR246" i="1"/>
  <c r="AR254" i="1" s="1"/>
  <c r="AS246" i="1"/>
  <c r="AT246" i="1"/>
  <c r="AT254" i="1" s="1"/>
  <c r="AU246" i="1"/>
  <c r="AU254" i="1" s="1"/>
  <c r="AV246" i="1"/>
  <c r="AW246" i="1"/>
  <c r="AP250" i="1"/>
  <c r="AQ250" i="1"/>
  <c r="AR250" i="1"/>
  <c r="AS250" i="1"/>
  <c r="AT250" i="1"/>
  <c r="AU250" i="1"/>
  <c r="AV250" i="1"/>
  <c r="P253" i="1"/>
  <c r="Q253" i="1"/>
  <c r="R253" i="1"/>
  <c r="S253" i="1"/>
  <c r="T253" i="1"/>
  <c r="G26" i="220" s="1"/>
  <c r="U253" i="1"/>
  <c r="H26" i="220" s="1"/>
  <c r="V253" i="1"/>
  <c r="I26" i="220" s="1"/>
  <c r="W253" i="1"/>
  <c r="J26" i="220" s="1"/>
  <c r="X253" i="1"/>
  <c r="K26" i="220" s="1"/>
  <c r="Y253" i="1"/>
  <c r="L26" i="220" s="1"/>
  <c r="Z253" i="1"/>
  <c r="M26" i="220" s="1"/>
  <c r="AA253" i="1"/>
  <c r="N26" i="220" s="1"/>
  <c r="AB253" i="1"/>
  <c r="O26" i="220" s="1"/>
  <c r="AC253" i="1"/>
  <c r="P26" i="220" s="1"/>
  <c r="AD253" i="1"/>
  <c r="Q26" i="220" s="1"/>
  <c r="AE253" i="1"/>
  <c r="R26" i="220" s="1"/>
  <c r="AF253" i="1"/>
  <c r="S26" i="220" s="1"/>
  <c r="AG253" i="1"/>
  <c r="T26" i="220" s="1"/>
  <c r="AH253" i="1"/>
  <c r="U26" i="220" s="1"/>
  <c r="AJ253" i="1"/>
  <c r="AK253" i="1"/>
  <c r="AL253" i="1"/>
  <c r="H254" i="1"/>
  <c r="I254" i="1"/>
  <c r="J254" i="1"/>
  <c r="K254" i="1"/>
  <c r="L254" i="1"/>
  <c r="M254" i="1"/>
  <c r="N254" i="1"/>
  <c r="O254" i="1"/>
  <c r="P254" i="1"/>
  <c r="Q254" i="1"/>
  <c r="R254" i="1"/>
  <c r="S254" i="1"/>
  <c r="T254" i="1"/>
  <c r="U254" i="1"/>
  <c r="V254" i="1"/>
  <c r="W254" i="1"/>
  <c r="X254" i="1"/>
  <c r="Y254" i="1"/>
  <c r="Z254" i="1"/>
  <c r="AA254" i="1"/>
  <c r="AB254" i="1"/>
  <c r="AC254" i="1"/>
  <c r="AD254" i="1"/>
  <c r="AE254" i="1"/>
  <c r="AF254" i="1"/>
  <c r="AG254" i="1"/>
  <c r="AH254" i="1"/>
  <c r="AI254" i="1"/>
  <c r="AJ254" i="1"/>
  <c r="AK254" i="1"/>
  <c r="AM254" i="1"/>
  <c r="AS254" i="1"/>
  <c r="AV254" i="1"/>
  <c r="AW254" i="1"/>
  <c r="P255" i="1"/>
  <c r="Q255" i="1"/>
  <c r="R255" i="1"/>
  <c r="S255" i="1"/>
  <c r="T255" i="1"/>
  <c r="U255" i="1"/>
  <c r="V255" i="1"/>
  <c r="W255" i="1"/>
  <c r="X255" i="1"/>
  <c r="Y255" i="1"/>
  <c r="Z255" i="1"/>
  <c r="AA255" i="1"/>
  <c r="AB255" i="1"/>
  <c r="E14" i="326" s="1"/>
  <c r="AC255" i="1"/>
  <c r="F14" i="326" s="1"/>
  <c r="AD255" i="1"/>
  <c r="G14" i="326" s="1"/>
  <c r="AE255" i="1"/>
  <c r="H14" i="326" s="1"/>
  <c r="AF255" i="1"/>
  <c r="I14" i="326" s="1"/>
  <c r="AG255" i="1"/>
  <c r="J14" i="326" s="1"/>
  <c r="AH255" i="1"/>
  <c r="K14" i="326" s="1"/>
  <c r="AJ255" i="1"/>
  <c r="AK255" i="1"/>
  <c r="M260" i="1"/>
  <c r="N260" i="1"/>
  <c r="O260" i="1"/>
  <c r="P260" i="1"/>
  <c r="Q260" i="1"/>
  <c r="R260" i="1"/>
  <c r="S260" i="1"/>
  <c r="T260" i="1"/>
  <c r="U260" i="1"/>
  <c r="V260" i="1"/>
  <c r="W260" i="1"/>
  <c r="X260" i="1"/>
  <c r="Y260" i="1"/>
  <c r="Z260" i="1"/>
  <c r="AA260" i="1"/>
  <c r="AB260" i="1"/>
  <c r="AC260" i="1"/>
  <c r="AD260" i="1"/>
  <c r="AE260" i="1"/>
  <c r="AF260" i="1"/>
  <c r="AG260" i="1"/>
  <c r="AH260" i="1"/>
  <c r="AK260" i="1"/>
  <c r="AL260" i="1"/>
  <c r="E261" i="1"/>
  <c r="F261" i="1"/>
  <c r="G261" i="1"/>
  <c r="H261" i="1"/>
  <c r="I261" i="1"/>
  <c r="J261" i="1"/>
  <c r="K261" i="1"/>
  <c r="L261" i="1"/>
  <c r="M261" i="1"/>
  <c r="N261" i="1"/>
  <c r="O261" i="1"/>
  <c r="P261" i="1"/>
  <c r="Q261" i="1"/>
  <c r="R261" i="1"/>
  <c r="S261" i="1"/>
  <c r="T261" i="1"/>
  <c r="U261" i="1"/>
  <c r="V261" i="1"/>
  <c r="W261" i="1"/>
  <c r="X261" i="1"/>
  <c r="Y261" i="1"/>
  <c r="Z261" i="1"/>
  <c r="AA261" i="1"/>
  <c r="AB261" i="1"/>
  <c r="AC261" i="1"/>
  <c r="AD261" i="1"/>
  <c r="AE261" i="1"/>
  <c r="AF261" i="1"/>
  <c r="AG261" i="1"/>
  <c r="AH261" i="1"/>
  <c r="AI261" i="1"/>
  <c r="AJ261" i="1"/>
  <c r="AK261" i="1"/>
  <c r="M262" i="1"/>
  <c r="N262" i="1"/>
  <c r="O262" i="1"/>
  <c r="P262" i="1"/>
  <c r="Q262" i="1"/>
  <c r="R262" i="1"/>
  <c r="S262" i="1"/>
  <c r="T262" i="1"/>
  <c r="U262" i="1"/>
  <c r="V262" i="1"/>
  <c r="W262" i="1"/>
  <c r="X262" i="1"/>
  <c r="Y262" i="1"/>
  <c r="Z262" i="1"/>
  <c r="AA262" i="1"/>
  <c r="AB262" i="1"/>
  <c r="E19" i="326" s="1"/>
  <c r="AC262" i="1"/>
  <c r="F19" i="326" s="1"/>
  <c r="AD262" i="1"/>
  <c r="G19" i="326" s="1"/>
  <c r="AE262" i="1"/>
  <c r="H19" i="326" s="1"/>
  <c r="AF262" i="1"/>
  <c r="I19" i="326" s="1"/>
  <c r="AG262" i="1"/>
  <c r="J19" i="326" s="1"/>
  <c r="AH262" i="1"/>
  <c r="K19" i="326" s="1"/>
  <c r="AK262" i="1"/>
  <c r="T267" i="1"/>
  <c r="U267" i="1"/>
  <c r="V267" i="1"/>
  <c r="W267" i="1"/>
  <c r="X267" i="1"/>
  <c r="Y267" i="1"/>
  <c r="Z267" i="1"/>
  <c r="AA267" i="1"/>
  <c r="AB267" i="1"/>
  <c r="AC267" i="1"/>
  <c r="AD267" i="1"/>
  <c r="AE267" i="1"/>
  <c r="AV267" i="1"/>
  <c r="D268" i="1"/>
  <c r="E268" i="1"/>
  <c r="F268" i="1"/>
  <c r="G268" i="1"/>
  <c r="H268" i="1"/>
  <c r="I268" i="1"/>
  <c r="J268" i="1"/>
  <c r="K268" i="1"/>
  <c r="L268" i="1"/>
  <c r="M268" i="1"/>
  <c r="N268" i="1"/>
  <c r="O268" i="1"/>
  <c r="P268" i="1"/>
  <c r="Q268" i="1"/>
  <c r="R268" i="1"/>
  <c r="AO268" i="1"/>
  <c r="AP268" i="1"/>
  <c r="AQ268" i="1"/>
  <c r="AR268" i="1"/>
  <c r="AS268" i="1"/>
  <c r="AU268" i="1"/>
  <c r="AW268" i="1"/>
  <c r="D269" i="1"/>
  <c r="X269" i="1"/>
  <c r="Y269" i="1"/>
  <c r="Z269" i="1"/>
  <c r="AA269" i="1"/>
  <c r="AB269" i="1"/>
  <c r="AC269" i="1"/>
  <c r="AD269" i="1"/>
  <c r="AE269" i="1"/>
  <c r="AF269" i="1"/>
  <c r="AG269" i="1"/>
  <c r="AH269" i="1"/>
  <c r="AJ269" i="1"/>
  <c r="AK269" i="1"/>
  <c r="AO269" i="1"/>
  <c r="D270" i="1"/>
  <c r="AO270" i="1"/>
  <c r="D271" i="1"/>
  <c r="AO276" i="1"/>
  <c r="AO277" i="1"/>
  <c r="AO278" i="1"/>
  <c r="H279" i="1"/>
  <c r="I279" i="1"/>
  <c r="J279" i="1"/>
  <c r="K279" i="1"/>
  <c r="L279" i="1"/>
  <c r="L286" i="1" s="1"/>
  <c r="O279" i="1"/>
  <c r="P279" i="1"/>
  <c r="P293" i="1" s="1"/>
  <c r="Q279" i="1"/>
  <c r="Q293" i="1" s="1"/>
  <c r="R279" i="1"/>
  <c r="R293" i="1" s="1"/>
  <c r="S279" i="1"/>
  <c r="S293" i="1" s="1"/>
  <c r="T279" i="1"/>
  <c r="U279" i="1"/>
  <c r="U286" i="1" s="1"/>
  <c r="V279" i="1"/>
  <c r="V293" i="1" s="1"/>
  <c r="W279" i="1"/>
  <c r="X279" i="1"/>
  <c r="Y279" i="1"/>
  <c r="Z279" i="1"/>
  <c r="AA279" i="1"/>
  <c r="AC279" i="1"/>
  <c r="AD279" i="1"/>
  <c r="AD286" i="1" s="1"/>
  <c r="AE279" i="1"/>
  <c r="AF279" i="1"/>
  <c r="AF293" i="1" s="1"/>
  <c r="AG279" i="1"/>
  <c r="AG293" i="1" s="1"/>
  <c r="AH279" i="1"/>
  <c r="AH293" i="1" s="1"/>
  <c r="AI279" i="1"/>
  <c r="AI293" i="1" s="1"/>
  <c r="AJ279" i="1"/>
  <c r="AK279" i="1"/>
  <c r="AK286" i="1" s="1"/>
  <c r="AL279" i="1"/>
  <c r="AL286" i="1" s="1"/>
  <c r="AM279" i="1"/>
  <c r="AO279" i="1"/>
  <c r="AP279" i="1"/>
  <c r="AX279" i="1"/>
  <c r="S286" i="1"/>
  <c r="W286" i="1"/>
  <c r="Y286" i="1"/>
  <c r="AA286" i="1"/>
  <c r="AC286" i="1"/>
  <c r="AI286" i="1"/>
  <c r="AM286" i="1"/>
  <c r="I293" i="1"/>
  <c r="J293" i="1"/>
  <c r="K293" i="1"/>
  <c r="L293" i="1"/>
  <c r="U293" i="1"/>
  <c r="X293" i="1"/>
  <c r="Y293" i="1"/>
  <c r="Z293" i="1"/>
  <c r="AA293" i="1"/>
  <c r="AD293" i="1"/>
  <c r="AK293" i="1"/>
  <c r="AL293" i="1"/>
  <c r="AQ297" i="1"/>
  <c r="AQ302" i="1" s="1"/>
  <c r="AR297" i="1"/>
  <c r="AR302" i="1" s="1"/>
  <c r="AS297" i="1"/>
  <c r="AS302" i="1" s="1"/>
  <c r="AT297" i="1"/>
  <c r="AV297" i="1"/>
  <c r="AW297" i="1"/>
  <c r="AQ298" i="1"/>
  <c r="AR298" i="1"/>
  <c r="AS298" i="1"/>
  <c r="AW298" i="1"/>
  <c r="H299" i="1"/>
  <c r="I299" i="1"/>
  <c r="J299" i="1"/>
  <c r="K299" i="1"/>
  <c r="O304" i="1" s="1"/>
  <c r="L299" i="1"/>
  <c r="P304" i="1" s="1"/>
  <c r="M299" i="1"/>
  <c r="Q304" i="1" s="1"/>
  <c r="N299" i="1"/>
  <c r="O299" i="1"/>
  <c r="P299" i="1"/>
  <c r="Q299" i="1"/>
  <c r="R299" i="1"/>
  <c r="S299" i="1"/>
  <c r="U299" i="1"/>
  <c r="V299" i="1"/>
  <c r="V304" i="1" s="1"/>
  <c r="W299" i="1"/>
  <c r="W304" i="1" s="1"/>
  <c r="Y299" i="1"/>
  <c r="Z299" i="1"/>
  <c r="AA299" i="1"/>
  <c r="AE304" i="1" s="1"/>
  <c r="AB299" i="1"/>
  <c r="AF304" i="1" s="1"/>
  <c r="AC299" i="1"/>
  <c r="AG304" i="1" s="1"/>
  <c r="AD299" i="1"/>
  <c r="AE299" i="1"/>
  <c r="AF299" i="1"/>
  <c r="AG299" i="1"/>
  <c r="AH299" i="1"/>
  <c r="AI299" i="1"/>
  <c r="AJ299" i="1"/>
  <c r="AO299" i="1"/>
  <c r="AS299" i="1"/>
  <c r="L302" i="1"/>
  <c r="M302" i="1"/>
  <c r="N302" i="1"/>
  <c r="O302" i="1"/>
  <c r="P302" i="1"/>
  <c r="Q302" i="1"/>
  <c r="R302" i="1"/>
  <c r="S302" i="1"/>
  <c r="T302" i="1"/>
  <c r="U302" i="1"/>
  <c r="V302" i="1"/>
  <c r="W302" i="1"/>
  <c r="X302" i="1"/>
  <c r="Y302" i="1"/>
  <c r="Z302" i="1"/>
  <c r="AA302" i="1"/>
  <c r="AB302" i="1"/>
  <c r="AC302" i="1"/>
  <c r="AD302" i="1"/>
  <c r="AE302" i="1"/>
  <c r="AF302" i="1"/>
  <c r="AG302" i="1"/>
  <c r="AH302" i="1"/>
  <c r="AI302" i="1"/>
  <c r="AJ302" i="1"/>
  <c r="AK302" i="1"/>
  <c r="AL302" i="1"/>
  <c r="AM302" i="1"/>
  <c r="AP302" i="1"/>
  <c r="L303" i="1"/>
  <c r="M303" i="1"/>
  <c r="N303" i="1"/>
  <c r="O303" i="1"/>
  <c r="P303" i="1"/>
  <c r="Q303" i="1"/>
  <c r="R303" i="1"/>
  <c r="S303" i="1"/>
  <c r="T303" i="1"/>
  <c r="U303" i="1"/>
  <c r="V303" i="1"/>
  <c r="W303" i="1"/>
  <c r="X303" i="1"/>
  <c r="Y303" i="1"/>
  <c r="Z303" i="1"/>
  <c r="AA303" i="1"/>
  <c r="AB303" i="1"/>
  <c r="AC303" i="1"/>
  <c r="AD303" i="1"/>
  <c r="AE303" i="1"/>
  <c r="AF303" i="1"/>
  <c r="AG303" i="1"/>
  <c r="AH303" i="1"/>
  <c r="AI303" i="1"/>
  <c r="AJ303" i="1"/>
  <c r="AK303" i="1"/>
  <c r="AP303" i="1"/>
  <c r="AQ303" i="1"/>
  <c r="AR303" i="1"/>
  <c r="AS303" i="1"/>
  <c r="L304" i="1"/>
  <c r="M304" i="1"/>
  <c r="S304" i="1"/>
  <c r="U304" i="1"/>
  <c r="Y304" i="1"/>
  <c r="Z304" i="1"/>
  <c r="AD304" i="1"/>
  <c r="AI304" i="1"/>
  <c r="AJ304" i="1"/>
  <c r="I307" i="1"/>
  <c r="J307" i="1"/>
  <c r="K307" i="1"/>
  <c r="L307" i="1"/>
  <c r="M307" i="1"/>
  <c r="N307" i="1"/>
  <c r="O307" i="1"/>
  <c r="P307" i="1"/>
  <c r="Q307" i="1"/>
  <c r="R307" i="1"/>
  <c r="S307" i="1"/>
  <c r="T307" i="1"/>
  <c r="U307" i="1"/>
  <c r="V307" i="1"/>
  <c r="W307" i="1"/>
  <c r="X307" i="1"/>
  <c r="Y307" i="1"/>
  <c r="Z307" i="1"/>
  <c r="AA307" i="1"/>
  <c r="AB307" i="1"/>
  <c r="AC307" i="1"/>
  <c r="AD307" i="1"/>
  <c r="AE307" i="1"/>
  <c r="AF307" i="1"/>
  <c r="AG307" i="1"/>
  <c r="AH307" i="1"/>
  <c r="AI307" i="1"/>
  <c r="AJ307" i="1"/>
  <c r="AK307" i="1"/>
  <c r="AL307" i="1"/>
  <c r="AM307" i="1"/>
  <c r="I308" i="1"/>
  <c r="J308" i="1"/>
  <c r="K308" i="1"/>
  <c r="L308" i="1"/>
  <c r="M308" i="1"/>
  <c r="N308" i="1"/>
  <c r="O308" i="1"/>
  <c r="P308" i="1"/>
  <c r="Q308" i="1"/>
  <c r="R308" i="1"/>
  <c r="S308" i="1"/>
  <c r="T308" i="1"/>
  <c r="U308" i="1"/>
  <c r="V308" i="1"/>
  <c r="W308" i="1"/>
  <c r="X308" i="1"/>
  <c r="Y308" i="1"/>
  <c r="Z308" i="1"/>
  <c r="AA308" i="1"/>
  <c r="AB308" i="1"/>
  <c r="AC308" i="1"/>
  <c r="AD308" i="1"/>
  <c r="AE308" i="1"/>
  <c r="AF308" i="1"/>
  <c r="AG308" i="1"/>
  <c r="AH308" i="1"/>
  <c r="I309" i="1"/>
  <c r="J309" i="1"/>
  <c r="P309" i="1"/>
  <c r="Q309" i="1"/>
  <c r="R309" i="1"/>
  <c r="S309" i="1"/>
  <c r="V309" i="1"/>
  <c r="W309" i="1"/>
  <c r="Z309" i="1"/>
  <c r="AA309" i="1"/>
  <c r="AB309" i="1"/>
  <c r="AF309" i="1"/>
  <c r="AG309" i="1"/>
  <c r="AH309" i="1"/>
  <c r="AI309" i="1"/>
  <c r="AJ309" i="1"/>
  <c r="AO314" i="1"/>
  <c r="L317" i="1"/>
  <c r="M317" i="1"/>
  <c r="N317" i="1"/>
  <c r="O317" i="1"/>
  <c r="P317" i="1"/>
  <c r="Q317" i="1"/>
  <c r="R317" i="1"/>
  <c r="S317" i="1"/>
  <c r="T317" i="1"/>
  <c r="U317" i="1"/>
  <c r="V317" i="1"/>
  <c r="W317" i="1"/>
  <c r="X317" i="1"/>
  <c r="Y317" i="1"/>
  <c r="Z317" i="1"/>
  <c r="AA317" i="1"/>
  <c r="AB317" i="1"/>
  <c r="AC317" i="1"/>
  <c r="AD317" i="1"/>
  <c r="AE317" i="1"/>
  <c r="AF317" i="1"/>
  <c r="AG317" i="1"/>
  <c r="AH317" i="1"/>
  <c r="AI317" i="1"/>
  <c r="AJ317" i="1"/>
  <c r="AK317" i="1"/>
  <c r="AL317" i="1"/>
  <c r="AM317" i="1"/>
  <c r="AP317" i="1"/>
  <c r="L318" i="1"/>
  <c r="M318" i="1"/>
  <c r="N318" i="1"/>
  <c r="O318" i="1"/>
  <c r="P318" i="1"/>
  <c r="Q318" i="1"/>
  <c r="R318" i="1"/>
  <c r="S318" i="1"/>
  <c r="T318" i="1"/>
  <c r="U318" i="1"/>
  <c r="V318" i="1"/>
  <c r="W318" i="1"/>
  <c r="X318" i="1"/>
  <c r="Y318" i="1"/>
  <c r="Z318" i="1"/>
  <c r="AA318" i="1"/>
  <c r="AB318" i="1"/>
  <c r="AC318" i="1"/>
  <c r="AD318" i="1"/>
  <c r="AE318" i="1"/>
  <c r="AF318" i="1"/>
  <c r="AG318" i="1"/>
  <c r="AH318" i="1"/>
  <c r="AI318" i="1"/>
  <c r="AJ318" i="1"/>
  <c r="AK318" i="1"/>
  <c r="AP318" i="1"/>
  <c r="I322" i="1"/>
  <c r="J322" i="1"/>
  <c r="K322" i="1"/>
  <c r="L322" i="1"/>
  <c r="M322" i="1"/>
  <c r="N322" i="1"/>
  <c r="O322" i="1"/>
  <c r="P322" i="1"/>
  <c r="Q322" i="1"/>
  <c r="R322" i="1"/>
  <c r="S322" i="1"/>
  <c r="T322" i="1"/>
  <c r="U322" i="1"/>
  <c r="V322" i="1"/>
  <c r="W322" i="1"/>
  <c r="X322" i="1"/>
  <c r="Y322" i="1"/>
  <c r="Z322" i="1"/>
  <c r="AA322" i="1"/>
  <c r="AB322" i="1"/>
  <c r="AC322" i="1"/>
  <c r="AD322" i="1"/>
  <c r="AE322" i="1"/>
  <c r="AF322" i="1"/>
  <c r="AG322" i="1"/>
  <c r="AH322" i="1"/>
  <c r="AI322" i="1"/>
  <c r="AJ322" i="1"/>
  <c r="AK322" i="1"/>
  <c r="AL322" i="1"/>
  <c r="AM322" i="1"/>
  <c r="I323" i="1"/>
  <c r="J323" i="1"/>
  <c r="K323" i="1"/>
  <c r="L323" i="1"/>
  <c r="M323" i="1"/>
  <c r="N323" i="1"/>
  <c r="O323" i="1"/>
  <c r="P323" i="1"/>
  <c r="Q323" i="1"/>
  <c r="R323" i="1"/>
  <c r="S323" i="1"/>
  <c r="T323" i="1"/>
  <c r="U323" i="1"/>
  <c r="V323" i="1"/>
  <c r="W323" i="1"/>
  <c r="X323" i="1"/>
  <c r="Y323" i="1"/>
  <c r="Z323" i="1"/>
  <c r="AA323" i="1"/>
  <c r="AB323" i="1"/>
  <c r="AC323" i="1"/>
  <c r="AD323" i="1"/>
  <c r="AE323" i="1"/>
  <c r="AF323" i="1"/>
  <c r="AG323" i="1"/>
  <c r="AH323" i="1"/>
  <c r="AO329" i="1"/>
  <c r="AO330" i="1"/>
  <c r="AO331" i="1"/>
  <c r="H332" i="1"/>
  <c r="I332" i="1"/>
  <c r="I346" i="1" s="1"/>
  <c r="J332" i="1"/>
  <c r="K332" i="1"/>
  <c r="L332" i="1"/>
  <c r="O332" i="1"/>
  <c r="P332" i="1"/>
  <c r="Q332" i="1"/>
  <c r="R332" i="1"/>
  <c r="S332" i="1"/>
  <c r="S339" i="1" s="1"/>
  <c r="T332" i="1"/>
  <c r="T339" i="1" s="1"/>
  <c r="U332" i="1"/>
  <c r="U346" i="1" s="1"/>
  <c r="V332" i="1"/>
  <c r="W332" i="1"/>
  <c r="W346" i="1" s="1"/>
  <c r="X332" i="1"/>
  <c r="X339" i="1" s="1"/>
  <c r="Y332" i="1"/>
  <c r="Y346" i="1" s="1"/>
  <c r="Z332" i="1"/>
  <c r="AA332" i="1"/>
  <c r="AB332" i="1"/>
  <c r="AC332" i="1"/>
  <c r="AD332" i="1"/>
  <c r="AD339" i="1" s="1"/>
  <c r="AE332" i="1"/>
  <c r="AF332" i="1"/>
  <c r="AG332" i="1"/>
  <c r="AG339" i="1" s="1"/>
  <c r="AH332" i="1"/>
  <c r="AH339" i="1" s="1"/>
  <c r="AI332" i="1"/>
  <c r="AI339" i="1" s="1"/>
  <c r="AJ332" i="1"/>
  <c r="AJ339" i="1" s="1"/>
  <c r="AK332" i="1"/>
  <c r="AK346" i="1" s="1"/>
  <c r="AL332" i="1"/>
  <c r="AM332" i="1"/>
  <c r="AM346" i="1" s="1"/>
  <c r="AO332" i="1"/>
  <c r="AP332" i="1"/>
  <c r="AX332" i="1"/>
  <c r="L339" i="1"/>
  <c r="O339" i="1"/>
  <c r="P339" i="1"/>
  <c r="W339" i="1"/>
  <c r="Y339" i="1"/>
  <c r="Z339" i="1"/>
  <c r="AA339" i="1"/>
  <c r="AB339" i="1"/>
  <c r="AC339" i="1"/>
  <c r="AE339" i="1"/>
  <c r="AF339" i="1"/>
  <c r="AM339" i="1"/>
  <c r="J346" i="1"/>
  <c r="K346" i="1"/>
  <c r="L346" i="1"/>
  <c r="P346" i="1"/>
  <c r="Q346" i="1"/>
  <c r="R346" i="1"/>
  <c r="S346" i="1"/>
  <c r="T346" i="1"/>
  <c r="X346" i="1"/>
  <c r="Z346" i="1"/>
  <c r="AA346" i="1"/>
  <c r="AB346" i="1"/>
  <c r="AC346" i="1"/>
  <c r="AD346" i="1"/>
  <c r="AE346" i="1"/>
  <c r="AF346" i="1"/>
  <c r="AG346" i="1"/>
  <c r="AH346" i="1"/>
  <c r="AI346" i="1"/>
  <c r="AJ346" i="1"/>
  <c r="H350" i="1"/>
  <c r="I350" i="1"/>
  <c r="J360" i="1" s="1"/>
  <c r="J350" i="1"/>
  <c r="K350" i="1"/>
  <c r="K360" i="1" s="1"/>
  <c r="L350" i="1"/>
  <c r="M350" i="1"/>
  <c r="M355" i="1" s="1"/>
  <c r="N350" i="1"/>
  <c r="N355" i="1" s="1"/>
  <c r="O350" i="1"/>
  <c r="O360" i="1" s="1"/>
  <c r="P350" i="1"/>
  <c r="Q350" i="1"/>
  <c r="Q355" i="1" s="1"/>
  <c r="R350" i="1"/>
  <c r="S350" i="1"/>
  <c r="T350" i="1"/>
  <c r="T355" i="1" s="1"/>
  <c r="U350" i="1"/>
  <c r="V360" i="1" s="1"/>
  <c r="V350" i="1"/>
  <c r="W350" i="1"/>
  <c r="Y350" i="1"/>
  <c r="Z360" i="1" s="1"/>
  <c r="Z350" i="1"/>
  <c r="AA350" i="1"/>
  <c r="AA360" i="1" s="1"/>
  <c r="AB350" i="1"/>
  <c r="AC350" i="1"/>
  <c r="AC355" i="1" s="1"/>
  <c r="AD350" i="1"/>
  <c r="AD355" i="1" s="1"/>
  <c r="AE350" i="1"/>
  <c r="AE360" i="1" s="1"/>
  <c r="AF350" i="1"/>
  <c r="AG350" i="1"/>
  <c r="AG355" i="1" s="1"/>
  <c r="AH350" i="1"/>
  <c r="AI350" i="1"/>
  <c r="AJ350" i="1"/>
  <c r="AJ355" i="1" s="1"/>
  <c r="AK350" i="1"/>
  <c r="AM350" i="1"/>
  <c r="AO350" i="1"/>
  <c r="AP350" i="1"/>
  <c r="AP355" i="1" s="1"/>
  <c r="AQ350" i="1"/>
  <c r="AR350" i="1"/>
  <c r="AS350" i="1"/>
  <c r="AT350" i="1"/>
  <c r="AV350" i="1"/>
  <c r="AW350" i="1"/>
  <c r="AW355" i="1" s="1"/>
  <c r="H351" i="1"/>
  <c r="I361" i="1" s="1"/>
  <c r="I351" i="1"/>
  <c r="M356" i="1" s="1"/>
  <c r="J351" i="1"/>
  <c r="N356" i="1" s="1"/>
  <c r="K351" i="1"/>
  <c r="K361" i="1" s="1"/>
  <c r="L351" i="1"/>
  <c r="L361" i="1" s="1"/>
  <c r="M351" i="1"/>
  <c r="N351" i="1"/>
  <c r="O351" i="1"/>
  <c r="P351" i="1"/>
  <c r="Q351" i="1"/>
  <c r="Q361" i="1" s="1"/>
  <c r="R351" i="1"/>
  <c r="S351" i="1"/>
  <c r="U351" i="1"/>
  <c r="V351" i="1"/>
  <c r="W351" i="1"/>
  <c r="W356" i="1" s="1"/>
  <c r="Y351" i="1"/>
  <c r="Z351" i="1"/>
  <c r="AD356" i="1" s="1"/>
  <c r="AA351" i="1"/>
  <c r="AB351" i="1"/>
  <c r="AB361" i="1" s="1"/>
  <c r="AC351" i="1"/>
  <c r="AD351" i="1"/>
  <c r="AE351" i="1"/>
  <c r="AF351" i="1"/>
  <c r="AG351" i="1"/>
  <c r="AG361" i="1" s="1"/>
  <c r="AH351" i="1"/>
  <c r="AI351" i="1"/>
  <c r="AJ351" i="1"/>
  <c r="AO351" i="1"/>
  <c r="AP351" i="1"/>
  <c r="AP356" i="1" s="1"/>
  <c r="AQ351" i="1"/>
  <c r="AR351" i="1"/>
  <c r="AR356" i="1" s="1"/>
  <c r="AS351" i="1"/>
  <c r="AV351" i="1"/>
  <c r="AW351" i="1"/>
  <c r="H352" i="1"/>
  <c r="I352" i="1"/>
  <c r="J352" i="1"/>
  <c r="K352" i="1"/>
  <c r="L352" i="1"/>
  <c r="L362" i="1" s="1"/>
  <c r="M352" i="1"/>
  <c r="N352" i="1"/>
  <c r="O352" i="1"/>
  <c r="S357" i="1" s="1"/>
  <c r="P352" i="1"/>
  <c r="P362" i="1" s="1"/>
  <c r="Q352" i="1"/>
  <c r="Q362" i="1" s="1"/>
  <c r="R352" i="1"/>
  <c r="V357" i="1" s="1"/>
  <c r="S352" i="1"/>
  <c r="U352" i="1"/>
  <c r="V352" i="1"/>
  <c r="W352" i="1"/>
  <c r="Y352" i="1"/>
  <c r="Z352" i="1"/>
  <c r="AA352" i="1"/>
  <c r="AB352" i="1"/>
  <c r="AB362" i="1" s="1"/>
  <c r="AC352" i="1"/>
  <c r="AD352" i="1"/>
  <c r="AE352" i="1"/>
  <c r="AI357" i="1" s="1"/>
  <c r="AF352" i="1"/>
  <c r="AG352" i="1"/>
  <c r="AG362" i="1" s="1"/>
  <c r="AH352" i="1"/>
  <c r="AH362" i="1" s="1"/>
  <c r="AI352" i="1"/>
  <c r="AJ352" i="1"/>
  <c r="AO352" i="1"/>
  <c r="AS352" i="1"/>
  <c r="AV352" i="1"/>
  <c r="AW352" i="1"/>
  <c r="L355" i="1"/>
  <c r="O355" i="1"/>
  <c r="U355" i="1"/>
  <c r="V355" i="1"/>
  <c r="Y355" i="1"/>
  <c r="Z355" i="1"/>
  <c r="AA355" i="1"/>
  <c r="AE355" i="1"/>
  <c r="AK355" i="1"/>
  <c r="AR355" i="1"/>
  <c r="AS355" i="1"/>
  <c r="AT355" i="1"/>
  <c r="P356" i="1"/>
  <c r="Q356" i="1"/>
  <c r="R356" i="1"/>
  <c r="S356" i="1"/>
  <c r="U356" i="1"/>
  <c r="AF356" i="1"/>
  <c r="AG356" i="1"/>
  <c r="AH356" i="1"/>
  <c r="AJ356" i="1"/>
  <c r="L357" i="1"/>
  <c r="M357" i="1"/>
  <c r="N357" i="1"/>
  <c r="O357" i="1"/>
  <c r="P357" i="1"/>
  <c r="Q357" i="1"/>
  <c r="W357" i="1"/>
  <c r="Z357" i="1"/>
  <c r="AA357" i="1"/>
  <c r="AC357" i="1"/>
  <c r="AG357" i="1"/>
  <c r="AW357" i="1"/>
  <c r="I360" i="1"/>
  <c r="M360" i="1"/>
  <c r="T360" i="1"/>
  <c r="U360" i="1"/>
  <c r="W360" i="1"/>
  <c r="AC360" i="1"/>
  <c r="AI360" i="1"/>
  <c r="AJ360" i="1"/>
  <c r="AK360" i="1"/>
  <c r="J361" i="1"/>
  <c r="N361" i="1"/>
  <c r="R361" i="1"/>
  <c r="S361" i="1"/>
  <c r="AD361" i="1"/>
  <c r="AH361" i="1"/>
  <c r="AI361" i="1"/>
  <c r="AJ361" i="1"/>
  <c r="I362" i="1"/>
  <c r="J362" i="1"/>
  <c r="K362" i="1"/>
  <c r="W362" i="1"/>
  <c r="Z362" i="1"/>
  <c r="AA362" i="1"/>
  <c r="AE362" i="1"/>
  <c r="AJ362" i="1"/>
  <c r="AO365" i="1"/>
  <c r="AO366" i="1"/>
  <c r="AO367" i="1"/>
  <c r="AO382" i="1"/>
  <c r="AO384" i="1" s="1"/>
  <c r="AO383" i="1"/>
  <c r="H385" i="1"/>
  <c r="I385" i="1"/>
  <c r="J385" i="1"/>
  <c r="K385" i="1"/>
  <c r="L385" i="1"/>
  <c r="L396" i="1" s="1"/>
  <c r="O385" i="1"/>
  <c r="P385" i="1"/>
  <c r="P396" i="1" s="1"/>
  <c r="Q385" i="1"/>
  <c r="S385" i="1"/>
  <c r="T385" i="1"/>
  <c r="U385" i="1"/>
  <c r="U396" i="1" s="1"/>
  <c r="V385" i="1"/>
  <c r="W385" i="1"/>
  <c r="X385" i="1"/>
  <c r="Y385" i="1"/>
  <c r="AC396" i="1" s="1"/>
  <c r="Z385" i="1"/>
  <c r="AA385" i="1"/>
  <c r="AB385" i="1"/>
  <c r="AB396" i="1" s="1"/>
  <c r="AC385" i="1"/>
  <c r="AD385" i="1"/>
  <c r="AH396" i="1" s="1"/>
  <c r="AE385" i="1"/>
  <c r="AF385" i="1"/>
  <c r="AG385" i="1"/>
  <c r="AG396" i="1" s="1"/>
  <c r="AH385" i="1"/>
  <c r="AI385" i="1"/>
  <c r="AJ385" i="1"/>
  <c r="AK385" i="1"/>
  <c r="AX385" i="1" s="1"/>
  <c r="AL385" i="1"/>
  <c r="AM385" i="1"/>
  <c r="AO385" i="1"/>
  <c r="AP385" i="1"/>
  <c r="AO386" i="1"/>
  <c r="H387" i="1"/>
  <c r="I387" i="1"/>
  <c r="J387" i="1"/>
  <c r="K387" i="1"/>
  <c r="L387" i="1"/>
  <c r="M387" i="1"/>
  <c r="N387" i="1"/>
  <c r="O387" i="1"/>
  <c r="P387" i="1"/>
  <c r="P420" i="1" s="1"/>
  <c r="Q387" i="1"/>
  <c r="U398" i="1" s="1"/>
  <c r="R387" i="1"/>
  <c r="S387" i="1"/>
  <c r="S398" i="1" s="1"/>
  <c r="U387" i="1"/>
  <c r="V387" i="1"/>
  <c r="W387" i="1"/>
  <c r="W398" i="1" s="1"/>
  <c r="Y387" i="1"/>
  <c r="Z387" i="1"/>
  <c r="AA387" i="1"/>
  <c r="AB387" i="1"/>
  <c r="AC387" i="1"/>
  <c r="AD387" i="1"/>
  <c r="AE387" i="1"/>
  <c r="AI398" i="1" s="1"/>
  <c r="AF387" i="1"/>
  <c r="AG387" i="1"/>
  <c r="AH387" i="1"/>
  <c r="AH398" i="1" s="1"/>
  <c r="AO387" i="1"/>
  <c r="AO388" i="1" s="1"/>
  <c r="AS387" i="1"/>
  <c r="AV387" i="1"/>
  <c r="AW387" i="1"/>
  <c r="AO389" i="1"/>
  <c r="O396" i="1"/>
  <c r="T396" i="1"/>
  <c r="V396" i="1"/>
  <c r="X396" i="1"/>
  <c r="Y396" i="1"/>
  <c r="Z396" i="1"/>
  <c r="AA396" i="1"/>
  <c r="AD396" i="1"/>
  <c r="AE396" i="1"/>
  <c r="AJ396" i="1"/>
  <c r="AL396" i="1"/>
  <c r="AP396" i="1"/>
  <c r="L398" i="1"/>
  <c r="M398" i="1"/>
  <c r="N398" i="1"/>
  <c r="O398" i="1"/>
  <c r="Y398" i="1"/>
  <c r="Z398" i="1"/>
  <c r="AC398" i="1"/>
  <c r="AD398" i="1"/>
  <c r="AE398" i="1"/>
  <c r="AF398" i="1"/>
  <c r="AG398" i="1"/>
  <c r="AJ398" i="1"/>
  <c r="AW398" i="1"/>
  <c r="H412" i="1"/>
  <c r="H410" i="1" s="1"/>
  <c r="I412" i="1"/>
  <c r="I410" i="1" s="1"/>
  <c r="J412" i="1"/>
  <c r="J410" i="1" s="1"/>
  <c r="J408" i="1" s="1"/>
  <c r="K412" i="1"/>
  <c r="K410" i="1"/>
  <c r="K408" i="1"/>
  <c r="L412" i="1"/>
  <c r="M412" i="1"/>
  <c r="AO412" i="1"/>
  <c r="AO410" i="1"/>
  <c r="AO408" i="1" s="1"/>
  <c r="AO406" i="1" s="1"/>
  <c r="AO404" i="1" s="1"/>
  <c r="AO405" i="1"/>
  <c r="AP412" i="1"/>
  <c r="AP410" i="1"/>
  <c r="AP408" i="1" s="1"/>
  <c r="AP406" i="1"/>
  <c r="T407" i="1"/>
  <c r="U407" i="1"/>
  <c r="V407" i="1"/>
  <c r="W407" i="1"/>
  <c r="X407" i="1"/>
  <c r="Y407" i="1"/>
  <c r="Z407" i="1"/>
  <c r="AA407" i="1"/>
  <c r="AE429" i="1" s="1"/>
  <c r="AQ407" i="1"/>
  <c r="AR407" i="1"/>
  <c r="AU407" i="1"/>
  <c r="AV407" i="1"/>
  <c r="AW407" i="1"/>
  <c r="AX407" i="1"/>
  <c r="S412" i="1"/>
  <c r="S410" i="1"/>
  <c r="T412" i="1"/>
  <c r="T410" i="1"/>
  <c r="U412" i="1"/>
  <c r="U410" i="1"/>
  <c r="X412" i="1"/>
  <c r="Y412" i="1"/>
  <c r="Y410" i="1" s="1"/>
  <c r="Z409" i="1"/>
  <c r="AA409" i="1"/>
  <c r="AB409" i="1"/>
  <c r="AC409" i="1"/>
  <c r="AD409" i="1"/>
  <c r="AE409" i="1"/>
  <c r="AF409" i="1"/>
  <c r="AG409" i="1"/>
  <c r="AH409" i="1"/>
  <c r="AQ409" i="1"/>
  <c r="AR409" i="1"/>
  <c r="AW409" i="1"/>
  <c r="Z412" i="1"/>
  <c r="AA412" i="1"/>
  <c r="AB412" i="1"/>
  <c r="AC412" i="1"/>
  <c r="AF412" i="1"/>
  <c r="AG412" i="1"/>
  <c r="AH412" i="1"/>
  <c r="AQ411" i="1"/>
  <c r="AR411" i="1"/>
  <c r="AS411" i="1"/>
  <c r="AT411" i="1"/>
  <c r="AO415" i="1"/>
  <c r="AO417" i="1"/>
  <c r="H418" i="1"/>
  <c r="I418" i="1"/>
  <c r="J418" i="1"/>
  <c r="K418" i="1"/>
  <c r="L418" i="1"/>
  <c r="O418" i="1"/>
  <c r="P418" i="1"/>
  <c r="Q418" i="1"/>
  <c r="AB418" i="1"/>
  <c r="AC418" i="1"/>
  <c r="AD418" i="1"/>
  <c r="AE418" i="1"/>
  <c r="AF418" i="1"/>
  <c r="AG418" i="1"/>
  <c r="AH418" i="1"/>
  <c r="AJ418" i="1"/>
  <c r="AK418" i="1"/>
  <c r="AL418" i="1"/>
  <c r="AM418" i="1"/>
  <c r="AO418" i="1"/>
  <c r="AP418" i="1"/>
  <c r="AO419" i="1"/>
  <c r="H420" i="1"/>
  <c r="I420" i="1"/>
  <c r="J420" i="1"/>
  <c r="K420" i="1"/>
  <c r="L420" i="1"/>
  <c r="M420" i="1"/>
  <c r="N420" i="1"/>
  <c r="O420" i="1"/>
  <c r="Q420" i="1"/>
  <c r="AO420" i="1"/>
  <c r="AO422" i="1"/>
  <c r="L429" i="1"/>
  <c r="O429" i="1"/>
  <c r="P429" i="1"/>
  <c r="T429" i="1"/>
  <c r="U429" i="1"/>
  <c r="V429" i="1"/>
  <c r="X429" i="1"/>
  <c r="Y429" i="1"/>
  <c r="Z429" i="1"/>
  <c r="AA429" i="1"/>
  <c r="AB429" i="1"/>
  <c r="AC429" i="1"/>
  <c r="AD429" i="1"/>
  <c r="AF429" i="1"/>
  <c r="AG429" i="1"/>
  <c r="AH429" i="1"/>
  <c r="AJ429" i="1"/>
  <c r="AK429" i="1"/>
  <c r="AL429" i="1"/>
  <c r="AP429" i="1"/>
  <c r="L431" i="1"/>
  <c r="M431" i="1"/>
  <c r="N431" i="1"/>
  <c r="O431" i="1"/>
  <c r="P431" i="1"/>
  <c r="Q431" i="1"/>
  <c r="R431" i="1"/>
  <c r="AD431" i="1"/>
  <c r="AE431" i="1"/>
  <c r="AF431" i="1"/>
  <c r="AG431" i="1"/>
  <c r="AH431" i="1"/>
  <c r="AI431" i="1"/>
  <c r="AJ431" i="1"/>
  <c r="I440" i="1"/>
  <c r="J440" i="1"/>
  <c r="K440" i="1"/>
  <c r="L440" i="1"/>
  <c r="P440" i="1"/>
  <c r="Q440" i="1"/>
  <c r="R440" i="1"/>
  <c r="U440" i="1"/>
  <c r="V440" i="1"/>
  <c r="W440" i="1"/>
  <c r="X440" i="1"/>
  <c r="Y440" i="1"/>
  <c r="Z440" i="1"/>
  <c r="AA440" i="1"/>
  <c r="AB440" i="1"/>
  <c r="AC440" i="1"/>
  <c r="AD440" i="1"/>
  <c r="AE440" i="1"/>
  <c r="AF440" i="1"/>
  <c r="AG440" i="1"/>
  <c r="AH440" i="1"/>
  <c r="AK440" i="1"/>
  <c r="AL440" i="1"/>
  <c r="AM440" i="1"/>
  <c r="I442" i="1"/>
  <c r="J442" i="1"/>
  <c r="K442" i="1"/>
  <c r="L442" i="1"/>
  <c r="M442" i="1"/>
  <c r="N442" i="1"/>
  <c r="O442" i="1"/>
  <c r="P442" i="1"/>
  <c r="Q442" i="1"/>
  <c r="AA442" i="1"/>
  <c r="AB442" i="1"/>
  <c r="AC442" i="1"/>
  <c r="AD442" i="1"/>
  <c r="AE442" i="1"/>
  <c r="AF442" i="1"/>
  <c r="AG442" i="1"/>
  <c r="AH442" i="1"/>
  <c r="AI442" i="1"/>
  <c r="AJ442" i="1"/>
  <c r="H450" i="1"/>
  <c r="H448" i="1"/>
  <c r="I450" i="1"/>
  <c r="I448" i="1"/>
  <c r="AQ448" i="1" s="1"/>
  <c r="J450" i="1"/>
  <c r="J448" i="1"/>
  <c r="K450" i="1"/>
  <c r="K448" i="1"/>
  <c r="L450" i="1"/>
  <c r="AR450" i="1" s="1"/>
  <c r="L448" i="1"/>
  <c r="M450" i="1"/>
  <c r="M455" i="1" s="1"/>
  <c r="M448" i="1"/>
  <c r="N450" i="1"/>
  <c r="N460" i="1" s="1"/>
  <c r="N448" i="1"/>
  <c r="O450" i="1"/>
  <c r="O448" i="1" s="1"/>
  <c r="P450" i="1"/>
  <c r="P448" i="1"/>
  <c r="Q450" i="1"/>
  <c r="Q460" i="1" s="1"/>
  <c r="Q448" i="1"/>
  <c r="R450" i="1"/>
  <c r="R448" i="1"/>
  <c r="R453" i="1" s="1"/>
  <c r="S450" i="1"/>
  <c r="S448" i="1"/>
  <c r="S453" i="1" s="1"/>
  <c r="T450" i="1"/>
  <c r="T455" i="1" s="1"/>
  <c r="T448" i="1"/>
  <c r="U450" i="1"/>
  <c r="U455" i="1" s="1"/>
  <c r="U448" i="1"/>
  <c r="AO450" i="1"/>
  <c r="AP455" i="1" s="1"/>
  <c r="AO448" i="1"/>
  <c r="AP450" i="1"/>
  <c r="AP448" i="1" s="1"/>
  <c r="Z450" i="1"/>
  <c r="Z455" i="1" s="1"/>
  <c r="Z449" i="1"/>
  <c r="AA450" i="1"/>
  <c r="D26" i="326" s="1"/>
  <c r="AB450" i="1"/>
  <c r="E26" i="326" s="1"/>
  <c r="AB449" i="1"/>
  <c r="AC450" i="1"/>
  <c r="F26" i="326" s="1"/>
  <c r="AD450" i="1"/>
  <c r="G26" i="326" s="1"/>
  <c r="AD449" i="1"/>
  <c r="AE450" i="1"/>
  <c r="H26" i="326" s="1"/>
  <c r="AF450" i="1"/>
  <c r="I26" i="326" s="1"/>
  <c r="AF449" i="1"/>
  <c r="AG450" i="1"/>
  <c r="J26" i="326" s="1"/>
  <c r="AH450" i="1"/>
  <c r="K26" i="326" s="1"/>
  <c r="AH449" i="1"/>
  <c r="AQ449" i="1"/>
  <c r="AR449" i="1"/>
  <c r="AS449" i="1"/>
  <c r="AS454" i="1" s="1"/>
  <c r="AT449" i="1"/>
  <c r="AQ450" i="1"/>
  <c r="O453" i="1"/>
  <c r="AP453" i="1"/>
  <c r="AQ453" i="1"/>
  <c r="L454" i="1"/>
  <c r="M454" i="1"/>
  <c r="N454" i="1"/>
  <c r="O454" i="1"/>
  <c r="P454" i="1"/>
  <c r="Q454" i="1"/>
  <c r="R454" i="1"/>
  <c r="S454" i="1"/>
  <c r="T454" i="1"/>
  <c r="U454" i="1"/>
  <c r="V454" i="1"/>
  <c r="W454" i="1"/>
  <c r="X454" i="1"/>
  <c r="Y454" i="1"/>
  <c r="AP454" i="1"/>
  <c r="N455" i="1"/>
  <c r="O455" i="1"/>
  <c r="P455" i="1"/>
  <c r="Q455" i="1"/>
  <c r="R455" i="1"/>
  <c r="S455" i="1"/>
  <c r="V455" i="1"/>
  <c r="AD455" i="1"/>
  <c r="G32" i="326" s="1"/>
  <c r="AE455" i="1"/>
  <c r="H32" i="326" s="1"/>
  <c r="AF455" i="1"/>
  <c r="I32" i="326" s="1"/>
  <c r="AG455" i="1"/>
  <c r="J32" i="326" s="1"/>
  <c r="AH455" i="1"/>
  <c r="K32" i="326" s="1"/>
  <c r="AQ455" i="1"/>
  <c r="I458" i="1"/>
  <c r="J458" i="1"/>
  <c r="K458" i="1"/>
  <c r="Q458" i="1"/>
  <c r="S458" i="1"/>
  <c r="I459" i="1"/>
  <c r="J459" i="1"/>
  <c r="K459" i="1"/>
  <c r="L459" i="1"/>
  <c r="M459" i="1"/>
  <c r="N459" i="1"/>
  <c r="O459" i="1"/>
  <c r="P459" i="1"/>
  <c r="Q459" i="1"/>
  <c r="R459" i="1"/>
  <c r="S459" i="1"/>
  <c r="T459" i="1"/>
  <c r="U459" i="1"/>
  <c r="V459" i="1"/>
  <c r="W459" i="1"/>
  <c r="X459" i="1"/>
  <c r="Y459" i="1"/>
  <c r="Z459" i="1"/>
  <c r="I460" i="1"/>
  <c r="J460" i="1"/>
  <c r="K460" i="1"/>
  <c r="L460" i="1"/>
  <c r="M460" i="1"/>
  <c r="P460" i="1"/>
  <c r="R460" i="1"/>
  <c r="S460" i="1"/>
  <c r="AA460" i="1"/>
  <c r="AB460" i="1"/>
  <c r="AC460" i="1"/>
  <c r="AD460" i="1"/>
  <c r="AF460" i="1"/>
  <c r="AO463" i="1"/>
  <c r="AO464" i="1"/>
  <c r="H470" i="1"/>
  <c r="H468" i="1"/>
  <c r="I470" i="1"/>
  <c r="I468" i="1" s="1"/>
  <c r="J470" i="1"/>
  <c r="J468" i="1"/>
  <c r="K470" i="1"/>
  <c r="L470" i="1"/>
  <c r="L471" i="1" s="1"/>
  <c r="M470" i="1"/>
  <c r="M471" i="1" s="1"/>
  <c r="M468" i="1"/>
  <c r="N470" i="1"/>
  <c r="O470" i="1"/>
  <c r="O468" i="1" s="1"/>
  <c r="P470" i="1"/>
  <c r="P468" i="1"/>
  <c r="Q470" i="1"/>
  <c r="R470" i="1"/>
  <c r="R468" i="1"/>
  <c r="S470" i="1"/>
  <c r="W471" i="1" s="1"/>
  <c r="S468" i="1"/>
  <c r="T470" i="1"/>
  <c r="U470" i="1"/>
  <c r="U468" i="1" s="1"/>
  <c r="V470" i="1"/>
  <c r="V468" i="1" s="1"/>
  <c r="W470" i="1"/>
  <c r="W468" i="1" s="1"/>
  <c r="X470" i="1"/>
  <c r="X468" i="1"/>
  <c r="Y470" i="1"/>
  <c r="Z470" i="1"/>
  <c r="Z471" i="1" s="1"/>
  <c r="Z468" i="1"/>
  <c r="AA470" i="1"/>
  <c r="AA471" i="1" s="1"/>
  <c r="AA468" i="1"/>
  <c r="AB470" i="1"/>
  <c r="AB468" i="1"/>
  <c r="AC470" i="1"/>
  <c r="AC468" i="1"/>
  <c r="AD470" i="1"/>
  <c r="AE470" i="1"/>
  <c r="AE468" i="1" s="1"/>
  <c r="AF470" i="1"/>
  <c r="AF468" i="1"/>
  <c r="AG470" i="1"/>
  <c r="AW470" i="1" s="1"/>
  <c r="AH470" i="1"/>
  <c r="AH468" i="1"/>
  <c r="AO470" i="1"/>
  <c r="AO468" i="1" s="1"/>
  <c r="AP470" i="1"/>
  <c r="AP471" i="1" s="1"/>
  <c r="AP468" i="1"/>
  <c r="AX468" i="1"/>
  <c r="AQ469" i="1"/>
  <c r="AR469" i="1"/>
  <c r="AS469" i="1"/>
  <c r="AT469" i="1"/>
  <c r="AU469" i="1"/>
  <c r="AV469" i="1"/>
  <c r="AW469" i="1"/>
  <c r="AX469" i="1"/>
  <c r="AX470" i="1"/>
  <c r="P471" i="1"/>
  <c r="Q471" i="1"/>
  <c r="R471" i="1"/>
  <c r="S471" i="1"/>
  <c r="U471" i="1"/>
  <c r="V471" i="1"/>
  <c r="AI471" i="1"/>
  <c r="AJ471" i="1"/>
  <c r="AK471" i="1"/>
  <c r="AL471" i="1"/>
  <c r="AM471" i="1"/>
  <c r="AX471" i="1"/>
  <c r="H477" i="1"/>
  <c r="H475" i="1"/>
  <c r="AQ475" i="1" s="1"/>
  <c r="I477" i="1"/>
  <c r="I475" i="1"/>
  <c r="J477" i="1"/>
  <c r="J475" i="1" s="1"/>
  <c r="K477" i="1"/>
  <c r="K475" i="1"/>
  <c r="L477" i="1"/>
  <c r="L475" i="1"/>
  <c r="AR475" i="1" s="1"/>
  <c r="M477" i="1"/>
  <c r="M478" i="1" s="1"/>
  <c r="M475" i="1"/>
  <c r="N477" i="1"/>
  <c r="N475" i="1" s="1"/>
  <c r="O477" i="1"/>
  <c r="O475" i="1" s="1"/>
  <c r="P477" i="1"/>
  <c r="P475" i="1"/>
  <c r="Q477" i="1"/>
  <c r="Q475" i="1"/>
  <c r="R477" i="1"/>
  <c r="S477" i="1"/>
  <c r="S475" i="1" s="1"/>
  <c r="T477" i="1"/>
  <c r="AT477" i="1" s="1"/>
  <c r="T475" i="1"/>
  <c r="U477" i="1"/>
  <c r="Y478" i="1" s="1"/>
  <c r="U475" i="1"/>
  <c r="V477" i="1"/>
  <c r="V475" i="1" s="1"/>
  <c r="W477" i="1"/>
  <c r="W475" i="1" s="1"/>
  <c r="X477" i="1"/>
  <c r="X475" i="1"/>
  <c r="Y477" i="1"/>
  <c r="Y475" i="1"/>
  <c r="Z477" i="1"/>
  <c r="Z475" i="1" s="1"/>
  <c r="AA477" i="1"/>
  <c r="AA475" i="1" s="1"/>
  <c r="AB477" i="1"/>
  <c r="AB475" i="1" s="1"/>
  <c r="AV475" i="1" s="1"/>
  <c r="AC477" i="1"/>
  <c r="AG478" i="1" s="1"/>
  <c r="AC475" i="1"/>
  <c r="AD477" i="1"/>
  <c r="AD475" i="1" s="1"/>
  <c r="AE477" i="1"/>
  <c r="AE475" i="1" s="1"/>
  <c r="AF477" i="1"/>
  <c r="AF475" i="1"/>
  <c r="AW475" i="1" s="1"/>
  <c r="AG477" i="1"/>
  <c r="AG475" i="1"/>
  <c r="AH477" i="1"/>
  <c r="AH475" i="1"/>
  <c r="AO477" i="1"/>
  <c r="AO475" i="1"/>
  <c r="AP477" i="1"/>
  <c r="AP475" i="1" s="1"/>
  <c r="AX475" i="1"/>
  <c r="AQ476" i="1"/>
  <c r="AR476" i="1"/>
  <c r="AS476" i="1"/>
  <c r="AT476" i="1"/>
  <c r="AU476" i="1"/>
  <c r="AV476" i="1"/>
  <c r="AW476" i="1"/>
  <c r="AX476" i="1"/>
  <c r="AR477" i="1"/>
  <c r="AS477" i="1"/>
  <c r="AW477" i="1"/>
  <c r="AX477" i="1"/>
  <c r="N478" i="1"/>
  <c r="O478" i="1"/>
  <c r="Q478" i="1"/>
  <c r="S478" i="1"/>
  <c r="T478" i="1"/>
  <c r="U478" i="1"/>
  <c r="AA478" i="1"/>
  <c r="AC478" i="1"/>
  <c r="AE478" i="1"/>
  <c r="AF478" i="1"/>
  <c r="AI478" i="1"/>
  <c r="AK478" i="1"/>
  <c r="AM478" i="1"/>
  <c r="AX478" i="1"/>
  <c r="H483" i="1"/>
  <c r="I483" i="1"/>
  <c r="J483" i="1"/>
  <c r="K483" i="1"/>
  <c r="L483" i="1"/>
  <c r="P488" i="1" s="1"/>
  <c r="M483" i="1"/>
  <c r="M488" i="1" s="1"/>
  <c r="N483" i="1"/>
  <c r="O483" i="1"/>
  <c r="P483" i="1"/>
  <c r="Q483" i="1"/>
  <c r="R483" i="1"/>
  <c r="S483" i="1"/>
  <c r="S488" i="1" s="1"/>
  <c r="T483" i="1"/>
  <c r="T488" i="1" s="1"/>
  <c r="U483" i="1"/>
  <c r="V483" i="1"/>
  <c r="AT483" i="1" s="1"/>
  <c r="W483" i="1"/>
  <c r="W488" i="1" s="1"/>
  <c r="X483" i="1"/>
  <c r="Y483" i="1"/>
  <c r="AO483" i="1"/>
  <c r="AP484" i="1"/>
  <c r="AP483" i="1"/>
  <c r="AP482" i="1"/>
  <c r="AX483" i="1"/>
  <c r="L488" i="1"/>
  <c r="N488" i="1"/>
  <c r="O488" i="1"/>
  <c r="Y488" i="1"/>
  <c r="AP488" i="1"/>
  <c r="AO493" i="1"/>
  <c r="T500" i="1"/>
  <c r="U500" i="1"/>
  <c r="V500" i="1"/>
  <c r="W500" i="1"/>
  <c r="X500" i="1"/>
  <c r="X505" i="1" s="1"/>
  <c r="Y500" i="1"/>
  <c r="Y505" i="1" s="1"/>
  <c r="Z500" i="1"/>
  <c r="Z505" i="1" s="1"/>
  <c r="AA500" i="1"/>
  <c r="AA505" i="1" s="1"/>
  <c r="AB500" i="1"/>
  <c r="AC500" i="1"/>
  <c r="AD500" i="1"/>
  <c r="AD505" i="1" s="1"/>
  <c r="AE500" i="1"/>
  <c r="AE505" i="1" s="1"/>
  <c r="AF500" i="1"/>
  <c r="AG500" i="1"/>
  <c r="AH500" i="1"/>
  <c r="AO500" i="1"/>
  <c r="AU500" i="1"/>
  <c r="AV500" i="1"/>
  <c r="AV505" i="1" s="1"/>
  <c r="L504" i="1"/>
  <c r="M504" i="1"/>
  <c r="N504" i="1"/>
  <c r="O504" i="1"/>
  <c r="P504" i="1"/>
  <c r="Q504" i="1"/>
  <c r="R504" i="1"/>
  <c r="S504" i="1"/>
  <c r="T504" i="1"/>
  <c r="U504" i="1"/>
  <c r="V504" i="1"/>
  <c r="W504" i="1"/>
  <c r="X504" i="1"/>
  <c r="Y504" i="1"/>
  <c r="Z504" i="1"/>
  <c r="AA504" i="1"/>
  <c r="AB504" i="1"/>
  <c r="AC504" i="1"/>
  <c r="AD504" i="1"/>
  <c r="AE504" i="1"/>
  <c r="AF504" i="1"/>
  <c r="AG504" i="1"/>
  <c r="AH504" i="1"/>
  <c r="AP504" i="1"/>
  <c r="AQ504" i="1"/>
  <c r="AR504" i="1"/>
  <c r="AS504" i="1"/>
  <c r="AT504" i="1"/>
  <c r="AU504" i="1"/>
  <c r="AV504" i="1"/>
  <c r="L505" i="1"/>
  <c r="M505" i="1"/>
  <c r="N505" i="1"/>
  <c r="O505" i="1"/>
  <c r="P505" i="1"/>
  <c r="Q505" i="1"/>
  <c r="R505" i="1"/>
  <c r="S505" i="1"/>
  <c r="T505" i="1"/>
  <c r="U505" i="1"/>
  <c r="V505" i="1"/>
  <c r="W505" i="1"/>
  <c r="AP505" i="1"/>
  <c r="AQ505" i="1"/>
  <c r="AR505" i="1"/>
  <c r="AS505" i="1"/>
  <c r="AT505" i="1"/>
  <c r="AU505" i="1"/>
  <c r="L506" i="1"/>
  <c r="M506" i="1"/>
  <c r="N506" i="1"/>
  <c r="O506" i="1"/>
  <c r="P506" i="1"/>
  <c r="Q506" i="1"/>
  <c r="R506" i="1"/>
  <c r="S506" i="1"/>
  <c r="T506" i="1"/>
  <c r="U506" i="1"/>
  <c r="V506" i="1"/>
  <c r="W506" i="1"/>
  <c r="X506" i="1"/>
  <c r="Y506" i="1"/>
  <c r="Z506" i="1"/>
  <c r="AA506" i="1"/>
  <c r="AB506" i="1"/>
  <c r="AC506" i="1"/>
  <c r="AD506" i="1"/>
  <c r="AE506" i="1"/>
  <c r="AF506" i="1"/>
  <c r="AG506" i="1"/>
  <c r="AH506" i="1"/>
  <c r="AP506" i="1"/>
  <c r="AQ506" i="1"/>
  <c r="AR506" i="1"/>
  <c r="AS506" i="1"/>
  <c r="AT506" i="1"/>
  <c r="AU506" i="1"/>
  <c r="AV506" i="1"/>
  <c r="H509" i="1"/>
  <c r="I509" i="1"/>
  <c r="J509" i="1"/>
  <c r="K510" i="1"/>
  <c r="K509" i="1" s="1"/>
  <c r="K533" i="1" s="1"/>
  <c r="L510" i="1"/>
  <c r="L515" i="1" s="1"/>
  <c r="M510" i="1"/>
  <c r="M509" i="1"/>
  <c r="M533" i="1" s="1"/>
  <c r="N510" i="1"/>
  <c r="N515" i="1" s="1"/>
  <c r="O510" i="1"/>
  <c r="O509" i="1"/>
  <c r="P510" i="1"/>
  <c r="Q510" i="1"/>
  <c r="Q509" i="1" s="1"/>
  <c r="R510" i="1"/>
  <c r="R509" i="1"/>
  <c r="S510" i="1"/>
  <c r="S509" i="1" s="1"/>
  <c r="S534" i="1" s="1"/>
  <c r="T510" i="1"/>
  <c r="T509" i="1" s="1"/>
  <c r="U510" i="1"/>
  <c r="U509" i="1"/>
  <c r="V510" i="1"/>
  <c r="Z515" i="1" s="1"/>
  <c r="W510" i="1"/>
  <c r="W509" i="1" s="1"/>
  <c r="W514" i="1" s="1"/>
  <c r="X510" i="1"/>
  <c r="Y510" i="1"/>
  <c r="Y509" i="1" s="1"/>
  <c r="Y514" i="1" s="1"/>
  <c r="Z510" i="1"/>
  <c r="Z509" i="1"/>
  <c r="AA510" i="1"/>
  <c r="AA509" i="1" s="1"/>
  <c r="AB510" i="1"/>
  <c r="AB515" i="1" s="1"/>
  <c r="AC510" i="1"/>
  <c r="AC509" i="1"/>
  <c r="AC533" i="1" s="1"/>
  <c r="AD510" i="1"/>
  <c r="AD515" i="1" s="1"/>
  <c r="AE510" i="1"/>
  <c r="AE509" i="1"/>
  <c r="AF510" i="1"/>
  <c r="AG510" i="1"/>
  <c r="AG509" i="1" s="1"/>
  <c r="AG533" i="1" s="1"/>
  <c r="AH510" i="1"/>
  <c r="AH509" i="1"/>
  <c r="AO510" i="1"/>
  <c r="AO509" i="1" s="1"/>
  <c r="AO535" i="1" s="1"/>
  <c r="AP510" i="1"/>
  <c r="AP509" i="1" s="1"/>
  <c r="AQ514" i="1" s="1"/>
  <c r="AQ510" i="1"/>
  <c r="AQ509" i="1"/>
  <c r="AR510" i="1"/>
  <c r="AR509" i="1" s="1"/>
  <c r="AR514" i="1" s="1"/>
  <c r="AS510" i="1"/>
  <c r="AS509" i="1"/>
  <c r="AS514" i="1" s="1"/>
  <c r="AT510" i="1"/>
  <c r="AU510" i="1"/>
  <c r="AU509" i="1" s="1"/>
  <c r="AV510" i="1"/>
  <c r="AV509" i="1"/>
  <c r="H511" i="1"/>
  <c r="I511" i="1"/>
  <c r="J511" i="1"/>
  <c r="K511" i="1"/>
  <c r="L511" i="1"/>
  <c r="L516" i="1" s="1"/>
  <c r="M511" i="1"/>
  <c r="M516" i="1" s="1"/>
  <c r="N511" i="1"/>
  <c r="N516" i="1" s="1"/>
  <c r="O511" i="1"/>
  <c r="O516" i="1" s="1"/>
  <c r="P511" i="1"/>
  <c r="P516" i="1" s="1"/>
  <c r="Q511" i="1"/>
  <c r="R511" i="1"/>
  <c r="S511" i="1"/>
  <c r="S537" i="1" s="1"/>
  <c r="T511" i="1"/>
  <c r="T516" i="1" s="1"/>
  <c r="U511" i="1"/>
  <c r="V511" i="1"/>
  <c r="W511" i="1"/>
  <c r="X511" i="1"/>
  <c r="Y511" i="1"/>
  <c r="Z511" i="1"/>
  <c r="Z516" i="1" s="1"/>
  <c r="AA511" i="1"/>
  <c r="AA516" i="1" s="1"/>
  <c r="AB511" i="1"/>
  <c r="AB516" i="1" s="1"/>
  <c r="AC511" i="1"/>
  <c r="AC516" i="1" s="1"/>
  <c r="AD511" i="1"/>
  <c r="AD516" i="1" s="1"/>
  <c r="AE511" i="1"/>
  <c r="AE516" i="1" s="1"/>
  <c r="AF511" i="1"/>
  <c r="AF516" i="1" s="1"/>
  <c r="AG511" i="1"/>
  <c r="AH511" i="1"/>
  <c r="AO511" i="1"/>
  <c r="AO537" i="1" s="1"/>
  <c r="AP511" i="1"/>
  <c r="AP516" i="1" s="1"/>
  <c r="AQ511" i="1"/>
  <c r="AR511" i="1"/>
  <c r="AS511" i="1"/>
  <c r="AT511" i="1"/>
  <c r="AU511" i="1"/>
  <c r="AV511" i="1"/>
  <c r="AG514" i="1"/>
  <c r="AP514" i="1"/>
  <c r="M515" i="1"/>
  <c r="S515" i="1"/>
  <c r="T515" i="1"/>
  <c r="U515" i="1"/>
  <c r="V515" i="1"/>
  <c r="AP515" i="1"/>
  <c r="AQ515" i="1"/>
  <c r="AR515" i="1"/>
  <c r="W516" i="1"/>
  <c r="X516" i="1"/>
  <c r="Y516" i="1"/>
  <c r="AR516" i="1"/>
  <c r="AS516" i="1"/>
  <c r="AT516" i="1"/>
  <c r="AU516" i="1"/>
  <c r="AV516" i="1"/>
  <c r="K519" i="1"/>
  <c r="L519" i="1"/>
  <c r="M519" i="1"/>
  <c r="N519" i="1"/>
  <c r="O519" i="1"/>
  <c r="P519" i="1"/>
  <c r="Q519" i="1"/>
  <c r="R519" i="1"/>
  <c r="S519" i="1"/>
  <c r="S526" i="1" s="1"/>
  <c r="T519" i="1"/>
  <c r="T526" i="1" s="1"/>
  <c r="U519" i="1"/>
  <c r="U526" i="1" s="1"/>
  <c r="V519" i="1"/>
  <c r="V526" i="1" s="1"/>
  <c r="W519" i="1"/>
  <c r="X519" i="1"/>
  <c r="Y519" i="1"/>
  <c r="Y533" i="1" s="1"/>
  <c r="Z519" i="1"/>
  <c r="Z533" i="1" s="1"/>
  <c r="AA519" i="1"/>
  <c r="AB519" i="1"/>
  <c r="AC519" i="1"/>
  <c r="AD519" i="1"/>
  <c r="AE519" i="1"/>
  <c r="AF519" i="1"/>
  <c r="AG519" i="1"/>
  <c r="AH519" i="1"/>
  <c r="AO519" i="1"/>
  <c r="AP519" i="1"/>
  <c r="AQ519" i="1"/>
  <c r="AR519" i="1"/>
  <c r="AS519" i="1"/>
  <c r="AT519" i="1"/>
  <c r="AU519" i="1"/>
  <c r="AV519" i="1"/>
  <c r="AV533" i="1" s="1"/>
  <c r="H522" i="1"/>
  <c r="H521" i="1" s="1"/>
  <c r="I522" i="1"/>
  <c r="I521" i="1" s="1"/>
  <c r="J522" i="1"/>
  <c r="J521" i="1"/>
  <c r="J520" i="1"/>
  <c r="J534" i="1" s="1"/>
  <c r="K523" i="1"/>
  <c r="K537" i="1" s="1"/>
  <c r="K522" i="1"/>
  <c r="K521" i="1"/>
  <c r="K520" i="1"/>
  <c r="K534" i="1" s="1"/>
  <c r="L523" i="1"/>
  <c r="L522" i="1"/>
  <c r="L529" i="1" s="1"/>
  <c r="M523" i="1"/>
  <c r="M522" i="1"/>
  <c r="M529" i="1" s="1"/>
  <c r="M521" i="1"/>
  <c r="M520" i="1" s="1"/>
  <c r="N523" i="1"/>
  <c r="O523" i="1"/>
  <c r="O537" i="1" s="1"/>
  <c r="P523" i="1"/>
  <c r="Q523" i="1"/>
  <c r="R523" i="1"/>
  <c r="R521" i="1" s="1"/>
  <c r="R522" i="1"/>
  <c r="S523" i="1"/>
  <c r="S530" i="1" s="1"/>
  <c r="S522" i="1"/>
  <c r="S521" i="1"/>
  <c r="S520" i="1"/>
  <c r="T523" i="1"/>
  <c r="T522" i="1"/>
  <c r="T536" i="1" s="1"/>
  <c r="U523" i="1"/>
  <c r="U522" i="1"/>
  <c r="U521" i="1"/>
  <c r="V523" i="1"/>
  <c r="W523" i="1"/>
  <c r="X523" i="1"/>
  <c r="Y523" i="1"/>
  <c r="Z523" i="1"/>
  <c r="Z530" i="1" s="1"/>
  <c r="Z522" i="1"/>
  <c r="AA523" i="1"/>
  <c r="AA537" i="1" s="1"/>
  <c r="AA522" i="1"/>
  <c r="AA521" i="1"/>
  <c r="AA520" i="1" s="1"/>
  <c r="AB523" i="1"/>
  <c r="AB522" i="1"/>
  <c r="AC523" i="1"/>
  <c r="AC522" i="1"/>
  <c r="AC521" i="1"/>
  <c r="AC520" i="1" s="1"/>
  <c r="AD523" i="1"/>
  <c r="AE523" i="1"/>
  <c r="AE537" i="1" s="1"/>
  <c r="AF523" i="1"/>
  <c r="AG523" i="1"/>
  <c r="AH523" i="1"/>
  <c r="AH521" i="1" s="1"/>
  <c r="AH522" i="1"/>
  <c r="AO520" i="1"/>
  <c r="AP520" i="1"/>
  <c r="AP534" i="1" s="1"/>
  <c r="AQ520" i="1"/>
  <c r="AQ534" i="1" s="1"/>
  <c r="AR520" i="1"/>
  <c r="AS520" i="1"/>
  <c r="AT520" i="1"/>
  <c r="AU520" i="1"/>
  <c r="AV520" i="1"/>
  <c r="AO523" i="1"/>
  <c r="AO522" i="1"/>
  <c r="AO521" i="1"/>
  <c r="AP523" i="1"/>
  <c r="AP522" i="1"/>
  <c r="AP521" i="1" s="1"/>
  <c r="AQ523" i="1"/>
  <c r="AQ522" i="1"/>
  <c r="AQ521" i="1"/>
  <c r="AQ535" i="1" s="1"/>
  <c r="AR523" i="1"/>
  <c r="AR522" i="1"/>
  <c r="AR536" i="1" s="1"/>
  <c r="AS523" i="1"/>
  <c r="AT523" i="1"/>
  <c r="AU523" i="1"/>
  <c r="AV530" i="1" s="1"/>
  <c r="AV523" i="1"/>
  <c r="AV522" i="1"/>
  <c r="AV521" i="1"/>
  <c r="L526" i="1"/>
  <c r="M526" i="1"/>
  <c r="N526" i="1"/>
  <c r="O526" i="1"/>
  <c r="P526" i="1"/>
  <c r="Q526" i="1"/>
  <c r="R526" i="1"/>
  <c r="AD526" i="1"/>
  <c r="AE526" i="1"/>
  <c r="AF526" i="1"/>
  <c r="AG526" i="1"/>
  <c r="AH526" i="1"/>
  <c r="AP529" i="1"/>
  <c r="AQ529" i="1"/>
  <c r="AR529" i="1"/>
  <c r="M530" i="1"/>
  <c r="N530" i="1"/>
  <c r="Q530" i="1"/>
  <c r="R530" i="1"/>
  <c r="U530" i="1"/>
  <c r="V530" i="1"/>
  <c r="W530" i="1"/>
  <c r="Y530" i="1"/>
  <c r="AC530" i="1"/>
  <c r="AD530" i="1"/>
  <c r="AG530" i="1"/>
  <c r="AH530" i="1"/>
  <c r="AP530" i="1"/>
  <c r="AQ530" i="1"/>
  <c r="AR530" i="1"/>
  <c r="AS530" i="1"/>
  <c r="AT530" i="1"/>
  <c r="AU530" i="1"/>
  <c r="H533" i="1"/>
  <c r="I533" i="1"/>
  <c r="J533" i="1"/>
  <c r="R533" i="1"/>
  <c r="U533" i="1"/>
  <c r="AH533" i="1"/>
  <c r="AO533" i="1"/>
  <c r="AP533" i="1"/>
  <c r="AQ533" i="1"/>
  <c r="AR533" i="1"/>
  <c r="AO534" i="1"/>
  <c r="AV534" i="1"/>
  <c r="J535" i="1"/>
  <c r="M535" i="1"/>
  <c r="AC535" i="1"/>
  <c r="AV535" i="1"/>
  <c r="H536" i="1"/>
  <c r="I536" i="1"/>
  <c r="J536" i="1"/>
  <c r="K536" i="1"/>
  <c r="L536" i="1"/>
  <c r="M536" i="1"/>
  <c r="R536" i="1"/>
  <c r="S536" i="1"/>
  <c r="U536" i="1"/>
  <c r="Z536" i="1"/>
  <c r="AA536" i="1"/>
  <c r="AB536" i="1"/>
  <c r="AC536" i="1"/>
  <c r="AH536" i="1"/>
  <c r="AO536" i="1"/>
  <c r="AQ536" i="1"/>
  <c r="AV536" i="1"/>
  <c r="H537" i="1"/>
  <c r="I537" i="1"/>
  <c r="J537" i="1"/>
  <c r="M537" i="1"/>
  <c r="N537" i="1"/>
  <c r="U537" i="1"/>
  <c r="V537" i="1"/>
  <c r="W537" i="1"/>
  <c r="Y537" i="1"/>
  <c r="Z537" i="1"/>
  <c r="AC537" i="1"/>
  <c r="AD537" i="1"/>
  <c r="AP537" i="1"/>
  <c r="AQ537" i="1"/>
  <c r="AR537" i="1"/>
  <c r="AS537" i="1"/>
  <c r="AT537" i="1"/>
  <c r="AU537" i="1"/>
  <c r="AV537" i="1"/>
  <c r="AQ541" i="1"/>
  <c r="AR541" i="1"/>
  <c r="AS541" i="1"/>
  <c r="AT541" i="1"/>
  <c r="AX549" i="1"/>
  <c r="AK551" i="1"/>
  <c r="AL551" i="1"/>
  <c r="AM551" i="1"/>
  <c r="AV564" i="1"/>
  <c r="AV572" i="1"/>
  <c r="AV584" i="1"/>
  <c r="AV585" i="1"/>
  <c r="H588" i="1"/>
  <c r="I588" i="1"/>
  <c r="J588" i="1"/>
  <c r="K588" i="1"/>
  <c r="L588" i="1"/>
  <c r="M588" i="1"/>
  <c r="P588" i="1"/>
  <c r="Q588" i="1"/>
  <c r="R588" i="1"/>
  <c r="S588" i="1"/>
  <c r="T588" i="1"/>
  <c r="U588" i="1"/>
  <c r="X588" i="1"/>
  <c r="Y588" i="1"/>
  <c r="Z588" i="1"/>
  <c r="AA588" i="1"/>
  <c r="AB588" i="1"/>
  <c r="AC588" i="1"/>
  <c r="AF588" i="1"/>
  <c r="AG588" i="1"/>
  <c r="AH588" i="1"/>
  <c r="AO588" i="1"/>
  <c r="AP588" i="1"/>
  <c r="AQ588" i="1"/>
  <c r="AR588" i="1"/>
  <c r="AS588" i="1"/>
  <c r="AT588" i="1"/>
  <c r="AU588" i="1"/>
  <c r="H589" i="1"/>
  <c r="I589" i="1"/>
  <c r="J589" i="1"/>
  <c r="K589" i="1"/>
  <c r="L589" i="1"/>
  <c r="M589" i="1"/>
  <c r="P589" i="1"/>
  <c r="Q589" i="1"/>
  <c r="R589" i="1"/>
  <c r="S589" i="1"/>
  <c r="T589" i="1"/>
  <c r="U589" i="1"/>
  <c r="X589" i="1"/>
  <c r="Y589" i="1"/>
  <c r="Z589" i="1"/>
  <c r="AA589" i="1"/>
  <c r="AB589" i="1"/>
  <c r="AC589" i="1"/>
  <c r="AF589" i="1"/>
  <c r="AG589" i="1"/>
  <c r="AH589" i="1"/>
  <c r="AO589" i="1"/>
  <c r="AP589" i="1"/>
  <c r="AQ589" i="1"/>
  <c r="AR589" i="1"/>
  <c r="AS589" i="1"/>
  <c r="AT589" i="1"/>
  <c r="AU589" i="1"/>
  <c r="H599" i="1"/>
  <c r="H592" i="1"/>
  <c r="I599" i="1"/>
  <c r="I592" i="1"/>
  <c r="J599" i="1"/>
  <c r="J592" i="1"/>
  <c r="K599" i="1"/>
  <c r="K592" i="1"/>
  <c r="L599" i="1"/>
  <c r="L592" i="1" s="1"/>
  <c r="M599" i="1"/>
  <c r="M592" i="1" s="1"/>
  <c r="N599" i="1"/>
  <c r="O599" i="1"/>
  <c r="P599" i="1"/>
  <c r="P592" i="1"/>
  <c r="Q599" i="1"/>
  <c r="Q592" i="1"/>
  <c r="R599" i="1"/>
  <c r="R592" i="1"/>
  <c r="S599" i="1"/>
  <c r="S592" i="1" s="1"/>
  <c r="T599" i="1"/>
  <c r="T592" i="1" s="1"/>
  <c r="U599" i="1"/>
  <c r="U592" i="1" s="1"/>
  <c r="V599" i="1"/>
  <c r="W599" i="1"/>
  <c r="X599" i="1"/>
  <c r="X592" i="1"/>
  <c r="Y599" i="1"/>
  <c r="Y592" i="1"/>
  <c r="Z599" i="1"/>
  <c r="Z592" i="1"/>
  <c r="AA599" i="1"/>
  <c r="AA592" i="1"/>
  <c r="AB599" i="1"/>
  <c r="AB592" i="1" s="1"/>
  <c r="AC599" i="1"/>
  <c r="AC592" i="1" s="1"/>
  <c r="AD599" i="1"/>
  <c r="AE599" i="1"/>
  <c r="AF599" i="1"/>
  <c r="AF592" i="1"/>
  <c r="AG599" i="1"/>
  <c r="AG592" i="1"/>
  <c r="AH599" i="1"/>
  <c r="AH592" i="1"/>
  <c r="AO599" i="1"/>
  <c r="AO592" i="1" s="1"/>
  <c r="AP599" i="1"/>
  <c r="AP592" i="1" s="1"/>
  <c r="AQ599" i="1"/>
  <c r="AQ592" i="1" s="1"/>
  <c r="AR599" i="1"/>
  <c r="AR592" i="1"/>
  <c r="AS599" i="1"/>
  <c r="AS592" i="1"/>
  <c r="AT599" i="1"/>
  <c r="AT592" i="1"/>
  <c r="AU599" i="1"/>
  <c r="AU592" i="1"/>
  <c r="AV599" i="1"/>
  <c r="H600" i="1"/>
  <c r="H593" i="1"/>
  <c r="I600" i="1"/>
  <c r="I593" i="1" s="1"/>
  <c r="J600" i="1"/>
  <c r="J593" i="1" s="1"/>
  <c r="K600" i="1"/>
  <c r="K593" i="1"/>
  <c r="L600" i="1"/>
  <c r="L593" i="1"/>
  <c r="M600" i="1"/>
  <c r="M593" i="1"/>
  <c r="N600" i="1"/>
  <c r="O600" i="1"/>
  <c r="P600" i="1"/>
  <c r="P593" i="1"/>
  <c r="Q600" i="1"/>
  <c r="Q593" i="1" s="1"/>
  <c r="R600" i="1"/>
  <c r="R593" i="1"/>
  <c r="S600" i="1"/>
  <c r="S593" i="1"/>
  <c r="T600" i="1"/>
  <c r="T593" i="1"/>
  <c r="U600" i="1"/>
  <c r="U593" i="1"/>
  <c r="V600" i="1"/>
  <c r="W600" i="1"/>
  <c r="X600" i="1"/>
  <c r="X593" i="1" s="1"/>
  <c r="Y600" i="1"/>
  <c r="Y593" i="1" s="1"/>
  <c r="Z600" i="1"/>
  <c r="Z593" i="1"/>
  <c r="AA600" i="1"/>
  <c r="AA593" i="1"/>
  <c r="AB600" i="1"/>
  <c r="AB593" i="1"/>
  <c r="AC600" i="1"/>
  <c r="AC593" i="1"/>
  <c r="AD600" i="1"/>
  <c r="AE600" i="1"/>
  <c r="AF600" i="1"/>
  <c r="AF593" i="1"/>
  <c r="AG600" i="1"/>
  <c r="AG593" i="1" s="1"/>
  <c r="AH600" i="1"/>
  <c r="AH593" i="1"/>
  <c r="AO600" i="1"/>
  <c r="AO593" i="1"/>
  <c r="AP600" i="1"/>
  <c r="AP593" i="1"/>
  <c r="AQ600" i="1"/>
  <c r="AQ593" i="1"/>
  <c r="AR600" i="1"/>
  <c r="AR593" i="1"/>
  <c r="AS600" i="1"/>
  <c r="AS593" i="1" s="1"/>
  <c r="AT600" i="1"/>
  <c r="AT593" i="1"/>
  <c r="AU600" i="1"/>
  <c r="AU593" i="1" s="1"/>
  <c r="AV600" i="1"/>
  <c r="H610" i="1"/>
  <c r="I610" i="1"/>
  <c r="J610" i="1"/>
  <c r="K610" i="1"/>
  <c r="L610" i="1"/>
  <c r="M610" i="1"/>
  <c r="P610" i="1"/>
  <c r="P613" i="1" s="1"/>
  <c r="Q610" i="1"/>
  <c r="Q613" i="1" s="1"/>
  <c r="R610" i="1"/>
  <c r="R613" i="1" s="1"/>
  <c r="S610" i="1"/>
  <c r="S613" i="1" s="1"/>
  <c r="T610" i="1"/>
  <c r="U610" i="1"/>
  <c r="X610" i="1"/>
  <c r="Y610" i="1"/>
  <c r="Y613" i="1" s="1"/>
  <c r="Z610" i="1"/>
  <c r="AA610" i="1"/>
  <c r="AB610" i="1"/>
  <c r="AC610" i="1"/>
  <c r="AF610" i="1"/>
  <c r="AG610" i="1"/>
  <c r="AG613" i="1" s="1"/>
  <c r="AH610" i="1"/>
  <c r="AH613" i="1" s="1"/>
  <c r="AO610" i="1"/>
  <c r="AO613" i="1" s="1"/>
  <c r="AP610" i="1"/>
  <c r="AQ610" i="1"/>
  <c r="AR610" i="1"/>
  <c r="AS610" i="1"/>
  <c r="AT610" i="1"/>
  <c r="AU610" i="1"/>
  <c r="H611" i="1"/>
  <c r="I611" i="1"/>
  <c r="J611" i="1"/>
  <c r="K611" i="1"/>
  <c r="L611" i="1"/>
  <c r="M611" i="1"/>
  <c r="N611" i="1"/>
  <c r="O611" i="1"/>
  <c r="P611" i="1"/>
  <c r="Q611" i="1"/>
  <c r="R611" i="1"/>
  <c r="S611" i="1"/>
  <c r="T611" i="1"/>
  <c r="U611" i="1"/>
  <c r="V611" i="1"/>
  <c r="W611" i="1"/>
  <c r="X611" i="1"/>
  <c r="Y611" i="1"/>
  <c r="Z611" i="1"/>
  <c r="Z613" i="1" s="1"/>
  <c r="AA611" i="1"/>
  <c r="AB611" i="1"/>
  <c r="AV611" i="1" s="1"/>
  <c r="AC611" i="1"/>
  <c r="AD611" i="1"/>
  <c r="AE611" i="1"/>
  <c r="AF611" i="1"/>
  <c r="AG611" i="1"/>
  <c r="AH611" i="1"/>
  <c r="AO611" i="1"/>
  <c r="AP611" i="1"/>
  <c r="AQ611" i="1"/>
  <c r="AR611" i="1"/>
  <c r="AS611" i="1"/>
  <c r="AT611" i="1"/>
  <c r="AU611" i="1"/>
  <c r="H612" i="1"/>
  <c r="I612" i="1"/>
  <c r="J612" i="1"/>
  <c r="K612" i="1"/>
  <c r="L612" i="1"/>
  <c r="M612" i="1"/>
  <c r="N612" i="1"/>
  <c r="O612" i="1"/>
  <c r="P612" i="1"/>
  <c r="Q612" i="1"/>
  <c r="R612" i="1"/>
  <c r="S612" i="1"/>
  <c r="T612" i="1"/>
  <c r="U612" i="1"/>
  <c r="V612" i="1"/>
  <c r="W612" i="1"/>
  <c r="X612" i="1"/>
  <c r="X613" i="1" s="1"/>
  <c r="Y612" i="1"/>
  <c r="Z612" i="1"/>
  <c r="AA612" i="1"/>
  <c r="AB612" i="1"/>
  <c r="AV612" i="1" s="1"/>
  <c r="AC612" i="1"/>
  <c r="AD612" i="1"/>
  <c r="AE612" i="1"/>
  <c r="AF612" i="1"/>
  <c r="AG612" i="1"/>
  <c r="AH612" i="1"/>
  <c r="AO612" i="1"/>
  <c r="AP612" i="1"/>
  <c r="AQ612" i="1"/>
  <c r="AR612" i="1"/>
  <c r="AS612" i="1"/>
  <c r="AT612" i="1"/>
  <c r="AU612" i="1"/>
  <c r="H613" i="1"/>
  <c r="I613" i="1"/>
  <c r="J613" i="1"/>
  <c r="T613" i="1"/>
  <c r="U613" i="1"/>
  <c r="AP613" i="1"/>
  <c r="AQ613" i="1"/>
  <c r="AR613" i="1"/>
  <c r="AS613" i="1"/>
  <c r="AT613" i="1"/>
  <c r="AU613" i="1"/>
  <c r="AV617" i="1"/>
  <c r="H630" i="1"/>
  <c r="H629" i="1"/>
  <c r="I630" i="1"/>
  <c r="I629" i="1"/>
  <c r="J630" i="1"/>
  <c r="J629" i="1"/>
  <c r="K630" i="1"/>
  <c r="K629" i="1"/>
  <c r="L630" i="1"/>
  <c r="L629" i="1" s="1"/>
  <c r="M630" i="1"/>
  <c r="M629" i="1" s="1"/>
  <c r="N630" i="1"/>
  <c r="N629" i="1" s="1"/>
  <c r="O630" i="1"/>
  <c r="O629" i="1" s="1"/>
  <c r="P630" i="1"/>
  <c r="P629" i="1"/>
  <c r="Q630" i="1"/>
  <c r="Q629" i="1"/>
  <c r="R630" i="1"/>
  <c r="R629" i="1"/>
  <c r="S630" i="1"/>
  <c r="S629" i="1"/>
  <c r="T630" i="1"/>
  <c r="T629" i="1"/>
  <c r="U630" i="1"/>
  <c r="U629" i="1"/>
  <c r="V630" i="1"/>
  <c r="V629" i="1"/>
  <c r="W630" i="1"/>
  <c r="W629" i="1" s="1"/>
  <c r="X630" i="1"/>
  <c r="X629" i="1"/>
  <c r="Y630" i="1"/>
  <c r="Y629" i="1"/>
  <c r="Z630" i="1"/>
  <c r="Z629" i="1"/>
  <c r="AA630" i="1"/>
  <c r="AA629" i="1"/>
  <c r="AB630" i="1"/>
  <c r="AB629" i="1"/>
  <c r="AC630" i="1"/>
  <c r="AC629" i="1" s="1"/>
  <c r="AD630" i="1"/>
  <c r="AD629" i="1" s="1"/>
  <c r="AE630" i="1"/>
  <c r="AE629" i="1" s="1"/>
  <c r="AF630" i="1"/>
  <c r="AF629" i="1"/>
  <c r="AG630" i="1"/>
  <c r="AG629" i="1"/>
  <c r="AH630" i="1"/>
  <c r="AH629" i="1"/>
  <c r="AO630" i="1"/>
  <c r="AO629" i="1" s="1"/>
  <c r="AP630" i="1"/>
  <c r="AP629" i="1"/>
  <c r="AQ630" i="1"/>
  <c r="AQ629" i="1"/>
  <c r="AR630" i="1"/>
  <c r="AR629" i="1"/>
  <c r="AS630" i="1"/>
  <c r="AS629" i="1" s="1"/>
  <c r="AT630" i="1"/>
  <c r="AT629" i="1"/>
  <c r="AU630" i="1"/>
  <c r="AU629" i="1"/>
  <c r="AV630" i="1"/>
  <c r="AV629" i="1"/>
  <c r="K633" i="1"/>
  <c r="O633" i="1"/>
  <c r="S640" i="1" s="1"/>
  <c r="S633" i="1"/>
  <c r="W633" i="1"/>
  <c r="AA633" i="1"/>
  <c r="AA640" i="1" s="1"/>
  <c r="AE633" i="1"/>
  <c r="K634" i="1"/>
  <c r="O634" i="1"/>
  <c r="S634" i="1"/>
  <c r="W634" i="1"/>
  <c r="AA634" i="1"/>
  <c r="AA641" i="1" s="1"/>
  <c r="AE634" i="1"/>
  <c r="AE641" i="1" s="1"/>
  <c r="K635" i="1"/>
  <c r="O635" i="1"/>
  <c r="O642" i="1" s="1"/>
  <c r="S635" i="1"/>
  <c r="W635" i="1"/>
  <c r="AA635" i="1"/>
  <c r="AA642" i="1" s="1"/>
  <c r="AE635" i="1"/>
  <c r="AE642" i="1" s="1"/>
  <c r="K636" i="1"/>
  <c r="O636" i="1"/>
  <c r="S636" i="1"/>
  <c r="W636" i="1"/>
  <c r="AA636" i="1"/>
  <c r="AA643" i="1" s="1"/>
  <c r="AE636" i="1"/>
  <c r="H637" i="1"/>
  <c r="I637" i="1"/>
  <c r="J637" i="1"/>
  <c r="AQ637" i="1"/>
  <c r="L637" i="1"/>
  <c r="L644" i="1" s="1"/>
  <c r="M637" i="1"/>
  <c r="N637" i="1"/>
  <c r="AR637" i="1"/>
  <c r="O637" i="1"/>
  <c r="P637" i="1"/>
  <c r="P644" i="1" s="1"/>
  <c r="Q637" i="1"/>
  <c r="R637" i="1"/>
  <c r="AS637" i="1"/>
  <c r="S637" i="1"/>
  <c r="T637" i="1"/>
  <c r="U637" i="1"/>
  <c r="V637" i="1"/>
  <c r="AT637" i="1"/>
  <c r="W637" i="1"/>
  <c r="W644" i="1" s="1"/>
  <c r="X637" i="1"/>
  <c r="Y637" i="1"/>
  <c r="Z637" i="1"/>
  <c r="AU637" i="1"/>
  <c r="AA637" i="1" s="1"/>
  <c r="AB637" i="1"/>
  <c r="AC637" i="1"/>
  <c r="AC644" i="1" s="1"/>
  <c r="AD637" i="1"/>
  <c r="AV637" i="1"/>
  <c r="AE637" i="1"/>
  <c r="AE644" i="1" s="1"/>
  <c r="AF637" i="1"/>
  <c r="AF644" i="1" s="1"/>
  <c r="AG637" i="1"/>
  <c r="AG644" i="1" s="1"/>
  <c r="AH637" i="1"/>
  <c r="AP637" i="1"/>
  <c r="L640" i="1"/>
  <c r="M640" i="1"/>
  <c r="N640" i="1"/>
  <c r="O640" i="1"/>
  <c r="P640" i="1"/>
  <c r="Q640" i="1"/>
  <c r="R640" i="1"/>
  <c r="T640" i="1"/>
  <c r="U640" i="1"/>
  <c r="V640" i="1"/>
  <c r="W640" i="1"/>
  <c r="X640" i="1"/>
  <c r="Y640" i="1"/>
  <c r="Z640" i="1"/>
  <c r="AB640" i="1"/>
  <c r="AC640" i="1"/>
  <c r="AD640" i="1"/>
  <c r="AE640" i="1"/>
  <c r="AF640" i="1"/>
  <c r="AG640" i="1"/>
  <c r="AH640" i="1"/>
  <c r="AP640" i="1"/>
  <c r="AQ640" i="1"/>
  <c r="AR640" i="1"/>
  <c r="AS640" i="1"/>
  <c r="AT640" i="1"/>
  <c r="AU640" i="1"/>
  <c r="AV640" i="1"/>
  <c r="L641" i="1"/>
  <c r="M641" i="1"/>
  <c r="N641" i="1"/>
  <c r="O641" i="1"/>
  <c r="P641" i="1"/>
  <c r="Q641" i="1"/>
  <c r="R641" i="1"/>
  <c r="S641" i="1"/>
  <c r="T641" i="1"/>
  <c r="U641" i="1"/>
  <c r="V641" i="1"/>
  <c r="W641" i="1"/>
  <c r="X641" i="1"/>
  <c r="Y641" i="1"/>
  <c r="Z641" i="1"/>
  <c r="AB641" i="1"/>
  <c r="AC641" i="1"/>
  <c r="AD641" i="1"/>
  <c r="AF641" i="1"/>
  <c r="AG641" i="1"/>
  <c r="AH641" i="1"/>
  <c r="AP641" i="1"/>
  <c r="AQ641" i="1"/>
  <c r="AR641" i="1"/>
  <c r="AS641" i="1"/>
  <c r="AT641" i="1"/>
  <c r="AU641" i="1"/>
  <c r="AV641" i="1"/>
  <c r="L642" i="1"/>
  <c r="M642" i="1"/>
  <c r="N642" i="1"/>
  <c r="P642" i="1"/>
  <c r="Q642" i="1"/>
  <c r="R642" i="1"/>
  <c r="S642" i="1"/>
  <c r="T642" i="1"/>
  <c r="U642" i="1"/>
  <c r="V642" i="1"/>
  <c r="W642" i="1"/>
  <c r="X642" i="1"/>
  <c r="Y642" i="1"/>
  <c r="Z642" i="1"/>
  <c r="AB642" i="1"/>
  <c r="AC642" i="1"/>
  <c r="AD642" i="1"/>
  <c r="AF642" i="1"/>
  <c r="AG642" i="1"/>
  <c r="AH642" i="1"/>
  <c r="AP642" i="1"/>
  <c r="AQ642" i="1"/>
  <c r="AR642" i="1"/>
  <c r="AS642" i="1"/>
  <c r="AT642" i="1"/>
  <c r="AU642" i="1"/>
  <c r="AV642" i="1"/>
  <c r="L643" i="1"/>
  <c r="M643" i="1"/>
  <c r="N643" i="1"/>
  <c r="O643" i="1"/>
  <c r="P643" i="1"/>
  <c r="Q643" i="1"/>
  <c r="R643" i="1"/>
  <c r="S643" i="1"/>
  <c r="T643" i="1"/>
  <c r="U643" i="1"/>
  <c r="V643" i="1"/>
  <c r="W643" i="1"/>
  <c r="X643" i="1"/>
  <c r="Y643" i="1"/>
  <c r="Z643" i="1"/>
  <c r="AB643" i="1"/>
  <c r="AC643" i="1"/>
  <c r="AD643" i="1"/>
  <c r="AF643" i="1"/>
  <c r="AG643" i="1"/>
  <c r="AH643" i="1"/>
  <c r="AP643" i="1"/>
  <c r="AQ643" i="1"/>
  <c r="AR643" i="1"/>
  <c r="AS643" i="1"/>
  <c r="AT643" i="1"/>
  <c r="AU643" i="1"/>
  <c r="AV643" i="1"/>
  <c r="M644" i="1"/>
  <c r="Q644" i="1"/>
  <c r="R644" i="1"/>
  <c r="S644" i="1"/>
  <c r="T644" i="1"/>
  <c r="U644" i="1"/>
  <c r="V644" i="1"/>
  <c r="X644" i="1"/>
  <c r="Y644" i="1"/>
  <c r="Z644" i="1"/>
  <c r="AB644" i="1"/>
  <c r="AD644" i="1"/>
  <c r="AH644" i="1"/>
  <c r="AP644" i="1"/>
  <c r="AS644" i="1"/>
  <c r="AT644" i="1"/>
  <c r="AU644" i="1"/>
  <c r="AV644" i="1"/>
  <c r="H649" i="1"/>
  <c r="I649" i="1"/>
  <c r="J649" i="1"/>
  <c r="K724" i="1"/>
  <c r="K649" i="1"/>
  <c r="L649" i="1"/>
  <c r="M649" i="1"/>
  <c r="N649" i="1"/>
  <c r="O724" i="1"/>
  <c r="O649" i="1"/>
  <c r="P649" i="1"/>
  <c r="Q649" i="1"/>
  <c r="R649" i="1"/>
  <c r="S724" i="1"/>
  <c r="S649" i="1"/>
  <c r="T649" i="1"/>
  <c r="U649" i="1"/>
  <c r="V649" i="1"/>
  <c r="W724" i="1"/>
  <c r="W649" i="1" s="1"/>
  <c r="X649" i="1"/>
  <c r="Y649" i="1"/>
  <c r="Z649" i="1"/>
  <c r="AA724" i="1"/>
  <c r="AA649" i="1"/>
  <c r="AB649" i="1"/>
  <c r="AC649" i="1"/>
  <c r="AD649" i="1"/>
  <c r="AE724" i="1"/>
  <c r="AE649" i="1" s="1"/>
  <c r="AF649" i="1"/>
  <c r="AG649" i="1"/>
  <c r="AH649" i="1"/>
  <c r="AV649" i="1"/>
  <c r="H650" i="1"/>
  <c r="I650" i="1"/>
  <c r="J650" i="1"/>
  <c r="K725" i="1"/>
  <c r="K650" i="1" s="1"/>
  <c r="L650" i="1"/>
  <c r="M650" i="1"/>
  <c r="N650" i="1"/>
  <c r="O725" i="1"/>
  <c r="O650" i="1" s="1"/>
  <c r="P650" i="1"/>
  <c r="Q650" i="1"/>
  <c r="R650" i="1"/>
  <c r="S725" i="1"/>
  <c r="S650" i="1" s="1"/>
  <c r="T650" i="1"/>
  <c r="U650" i="1"/>
  <c r="V650" i="1"/>
  <c r="W725" i="1"/>
  <c r="W650" i="1"/>
  <c r="X650" i="1"/>
  <c r="Y650" i="1"/>
  <c r="Z650" i="1"/>
  <c r="AA725" i="1"/>
  <c r="AA650" i="1"/>
  <c r="AB650" i="1"/>
  <c r="AC650" i="1"/>
  <c r="AD650" i="1"/>
  <c r="AE725" i="1"/>
  <c r="AE650" i="1"/>
  <c r="AF650" i="1"/>
  <c r="AG650" i="1"/>
  <c r="AH650" i="1"/>
  <c r="H651" i="1"/>
  <c r="I651" i="1"/>
  <c r="J651" i="1"/>
  <c r="K726" i="1"/>
  <c r="K651" i="1"/>
  <c r="L651" i="1"/>
  <c r="M651" i="1"/>
  <c r="N651" i="1"/>
  <c r="O726" i="1"/>
  <c r="O651" i="1"/>
  <c r="P651" i="1"/>
  <c r="Q651" i="1"/>
  <c r="R651" i="1"/>
  <c r="S726" i="1"/>
  <c r="S651" i="1" s="1"/>
  <c r="T651" i="1"/>
  <c r="U651" i="1"/>
  <c r="V651" i="1"/>
  <c r="W726" i="1"/>
  <c r="W651" i="1" s="1"/>
  <c r="X651" i="1"/>
  <c r="Y651" i="1"/>
  <c r="Z651" i="1"/>
  <c r="AA726" i="1"/>
  <c r="AA651" i="1" s="1"/>
  <c r="AB651" i="1"/>
  <c r="AC651" i="1"/>
  <c r="AD651" i="1"/>
  <c r="AE726" i="1"/>
  <c r="AE651" i="1" s="1"/>
  <c r="AF651" i="1"/>
  <c r="AG651" i="1"/>
  <c r="AH651" i="1"/>
  <c r="AV651" i="1"/>
  <c r="H652" i="1"/>
  <c r="I652" i="1"/>
  <c r="J652" i="1"/>
  <c r="K727" i="1"/>
  <c r="K652" i="1"/>
  <c r="L652" i="1"/>
  <c r="M652" i="1"/>
  <c r="N652" i="1"/>
  <c r="O727" i="1"/>
  <c r="O652" i="1"/>
  <c r="P652" i="1"/>
  <c r="Q652" i="1"/>
  <c r="R652" i="1"/>
  <c r="S727" i="1"/>
  <c r="S652" i="1" s="1"/>
  <c r="T652" i="1"/>
  <c r="U652" i="1"/>
  <c r="V652" i="1"/>
  <c r="W727" i="1"/>
  <c r="W652" i="1"/>
  <c r="X652" i="1"/>
  <c r="Y652" i="1"/>
  <c r="Z652" i="1"/>
  <c r="AA727" i="1"/>
  <c r="AA652" i="1" s="1"/>
  <c r="AB652" i="1"/>
  <c r="AC652" i="1"/>
  <c r="AD652" i="1"/>
  <c r="AE727" i="1"/>
  <c r="AE652" i="1" s="1"/>
  <c r="AF652" i="1"/>
  <c r="AG652" i="1"/>
  <c r="AH652" i="1"/>
  <c r="AV652" i="1"/>
  <c r="H653" i="1"/>
  <c r="I653" i="1"/>
  <c r="J653" i="1"/>
  <c r="K728" i="1"/>
  <c r="K653" i="1" s="1"/>
  <c r="L653" i="1"/>
  <c r="M653" i="1"/>
  <c r="N653" i="1"/>
  <c r="O728" i="1"/>
  <c r="O653" i="1" s="1"/>
  <c r="P653" i="1"/>
  <c r="Q653" i="1"/>
  <c r="R653" i="1"/>
  <c r="S728" i="1"/>
  <c r="S653" i="1"/>
  <c r="T653" i="1"/>
  <c r="U653" i="1"/>
  <c r="V653" i="1"/>
  <c r="W728" i="1"/>
  <c r="W653" i="1"/>
  <c r="X653" i="1"/>
  <c r="Y653" i="1"/>
  <c r="Z653" i="1"/>
  <c r="AA728" i="1"/>
  <c r="AA653" i="1"/>
  <c r="AB653" i="1"/>
  <c r="AC653" i="1"/>
  <c r="AD653" i="1"/>
  <c r="AE728" i="1"/>
  <c r="AE653" i="1"/>
  <c r="AF653" i="1"/>
  <c r="AG653" i="1"/>
  <c r="AH653" i="1"/>
  <c r="AV653" i="1"/>
  <c r="H654" i="1"/>
  <c r="I654" i="1"/>
  <c r="J654" i="1"/>
  <c r="K729" i="1"/>
  <c r="K654" i="1" s="1"/>
  <c r="L654" i="1"/>
  <c r="M654" i="1"/>
  <c r="N654" i="1"/>
  <c r="O729" i="1"/>
  <c r="O654" i="1" s="1"/>
  <c r="P654" i="1"/>
  <c r="Q654" i="1"/>
  <c r="R654" i="1"/>
  <c r="S729" i="1"/>
  <c r="S654" i="1"/>
  <c r="T654" i="1"/>
  <c r="U654" i="1"/>
  <c r="V654" i="1"/>
  <c r="W729" i="1"/>
  <c r="W654" i="1"/>
  <c r="X654" i="1"/>
  <c r="Y654" i="1"/>
  <c r="Z654" i="1"/>
  <c r="AA729" i="1"/>
  <c r="AA654" i="1" s="1"/>
  <c r="AB654" i="1"/>
  <c r="AC654" i="1"/>
  <c r="AD654" i="1"/>
  <c r="AE729" i="1"/>
  <c r="AE654" i="1" s="1"/>
  <c r="AF654" i="1"/>
  <c r="AG654" i="1"/>
  <c r="AH654" i="1"/>
  <c r="AV654" i="1"/>
  <c r="H655" i="1"/>
  <c r="I655" i="1"/>
  <c r="J655" i="1"/>
  <c r="K730" i="1"/>
  <c r="K655" i="1" s="1"/>
  <c r="L655" i="1"/>
  <c r="M655" i="1"/>
  <c r="N655" i="1"/>
  <c r="O730" i="1"/>
  <c r="O655" i="1"/>
  <c r="P655" i="1"/>
  <c r="Q655" i="1"/>
  <c r="R655" i="1"/>
  <c r="S730" i="1"/>
  <c r="S655" i="1"/>
  <c r="T655" i="1"/>
  <c r="U655" i="1"/>
  <c r="V655" i="1"/>
  <c r="W730" i="1"/>
  <c r="W655" i="1"/>
  <c r="X655" i="1"/>
  <c r="Y655" i="1"/>
  <c r="Z655" i="1"/>
  <c r="AA730" i="1"/>
  <c r="AA655" i="1" s="1"/>
  <c r="AB655" i="1"/>
  <c r="AC655" i="1"/>
  <c r="AD655" i="1"/>
  <c r="AE730" i="1"/>
  <c r="AE655" i="1"/>
  <c r="AF655" i="1"/>
  <c r="AG655" i="1"/>
  <c r="AH655" i="1"/>
  <c r="AV655" i="1"/>
  <c r="H656" i="1"/>
  <c r="I656" i="1"/>
  <c r="J656" i="1"/>
  <c r="K731" i="1"/>
  <c r="K656" i="1" s="1"/>
  <c r="L656" i="1"/>
  <c r="M656" i="1"/>
  <c r="N656" i="1"/>
  <c r="O731" i="1"/>
  <c r="O656" i="1" s="1"/>
  <c r="P656" i="1"/>
  <c r="Q656" i="1"/>
  <c r="R656" i="1"/>
  <c r="S731" i="1"/>
  <c r="S656" i="1" s="1"/>
  <c r="T656" i="1"/>
  <c r="U656" i="1"/>
  <c r="V656" i="1"/>
  <c r="W731" i="1"/>
  <c r="W656" i="1" s="1"/>
  <c r="X656" i="1"/>
  <c r="Y656" i="1"/>
  <c r="Z656" i="1"/>
  <c r="AA731" i="1"/>
  <c r="AA656" i="1"/>
  <c r="AB656" i="1"/>
  <c r="AC656" i="1"/>
  <c r="AD656" i="1"/>
  <c r="AE731" i="1"/>
  <c r="AE656" i="1"/>
  <c r="AF656" i="1"/>
  <c r="AG656" i="1"/>
  <c r="AH656" i="1"/>
  <c r="AV656" i="1"/>
  <c r="H657" i="1"/>
  <c r="I657" i="1"/>
  <c r="J657" i="1"/>
  <c r="K732" i="1"/>
  <c r="K657" i="1" s="1"/>
  <c r="L657" i="1"/>
  <c r="M657" i="1"/>
  <c r="N657" i="1"/>
  <c r="O732" i="1"/>
  <c r="O657" i="1"/>
  <c r="P657" i="1"/>
  <c r="Q657" i="1"/>
  <c r="R657" i="1"/>
  <c r="S732" i="1"/>
  <c r="S657" i="1" s="1"/>
  <c r="T657" i="1"/>
  <c r="U657" i="1"/>
  <c r="V657" i="1"/>
  <c r="W732" i="1"/>
  <c r="W657" i="1" s="1"/>
  <c r="X657" i="1"/>
  <c r="Y657" i="1"/>
  <c r="Z657" i="1"/>
  <c r="AA732" i="1"/>
  <c r="AA657" i="1"/>
  <c r="AB657" i="1"/>
  <c r="AC657" i="1"/>
  <c r="AD657" i="1"/>
  <c r="AE732" i="1"/>
  <c r="AE657" i="1"/>
  <c r="AF657" i="1"/>
  <c r="AG657" i="1"/>
  <c r="AH657" i="1"/>
  <c r="AV657" i="1"/>
  <c r="H658" i="1"/>
  <c r="I658" i="1"/>
  <c r="J658" i="1"/>
  <c r="K733" i="1"/>
  <c r="K658" i="1"/>
  <c r="L658" i="1"/>
  <c r="M658" i="1"/>
  <c r="N658" i="1"/>
  <c r="O733" i="1"/>
  <c r="O658" i="1"/>
  <c r="P658" i="1"/>
  <c r="Q658" i="1"/>
  <c r="R658" i="1"/>
  <c r="S733" i="1"/>
  <c r="S658" i="1" s="1"/>
  <c r="T658" i="1"/>
  <c r="U658" i="1"/>
  <c r="V658" i="1"/>
  <c r="W733" i="1"/>
  <c r="W658" i="1"/>
  <c r="X658" i="1"/>
  <c r="Y658" i="1"/>
  <c r="Z658" i="1"/>
  <c r="AA733" i="1"/>
  <c r="AA658" i="1" s="1"/>
  <c r="AB658" i="1"/>
  <c r="AC658" i="1"/>
  <c r="AD658" i="1"/>
  <c r="AE733" i="1"/>
  <c r="AE658" i="1"/>
  <c r="AF658" i="1"/>
  <c r="AG658" i="1"/>
  <c r="AH658" i="1"/>
  <c r="AV658" i="1"/>
  <c r="H659" i="1"/>
  <c r="I659" i="1"/>
  <c r="J659" i="1"/>
  <c r="K734" i="1"/>
  <c r="K659" i="1"/>
  <c r="L659" i="1"/>
  <c r="M659" i="1"/>
  <c r="N659" i="1"/>
  <c r="O734" i="1"/>
  <c r="O659" i="1"/>
  <c r="P659" i="1"/>
  <c r="Q659" i="1"/>
  <c r="R659" i="1"/>
  <c r="S734" i="1"/>
  <c r="S659" i="1" s="1"/>
  <c r="T659" i="1"/>
  <c r="U659" i="1"/>
  <c r="V659" i="1"/>
  <c r="W734" i="1"/>
  <c r="W659" i="1" s="1"/>
  <c r="X659" i="1"/>
  <c r="Y659" i="1"/>
  <c r="Z659" i="1"/>
  <c r="AA734" i="1"/>
  <c r="AA659" i="1" s="1"/>
  <c r="AB659" i="1"/>
  <c r="AC659" i="1"/>
  <c r="AD659" i="1"/>
  <c r="AE734" i="1"/>
  <c r="AE659" i="1" s="1"/>
  <c r="AF659" i="1"/>
  <c r="AG659" i="1"/>
  <c r="AH659" i="1"/>
  <c r="AV659" i="1"/>
  <c r="H660" i="1"/>
  <c r="I660" i="1"/>
  <c r="J660" i="1"/>
  <c r="K735" i="1"/>
  <c r="K660" i="1" s="1"/>
  <c r="L660" i="1"/>
  <c r="M660" i="1"/>
  <c r="N660" i="1"/>
  <c r="O735" i="1"/>
  <c r="O660" i="1"/>
  <c r="P660" i="1"/>
  <c r="Q660" i="1"/>
  <c r="R660" i="1"/>
  <c r="S735" i="1"/>
  <c r="S660" i="1" s="1"/>
  <c r="T660" i="1"/>
  <c r="U660" i="1"/>
  <c r="V660" i="1"/>
  <c r="W735" i="1"/>
  <c r="W660" i="1"/>
  <c r="X660" i="1"/>
  <c r="Y660" i="1"/>
  <c r="Z660" i="1"/>
  <c r="AA735" i="1"/>
  <c r="AA660" i="1" s="1"/>
  <c r="AB660" i="1"/>
  <c r="AC660" i="1"/>
  <c r="AD660" i="1"/>
  <c r="AE735" i="1"/>
  <c r="AE660" i="1" s="1"/>
  <c r="AF660" i="1"/>
  <c r="AG660" i="1"/>
  <c r="AH660" i="1"/>
  <c r="AV660" i="1"/>
  <c r="H661" i="1"/>
  <c r="I661" i="1"/>
  <c r="J661" i="1"/>
  <c r="K736" i="1"/>
  <c r="K661" i="1" s="1"/>
  <c r="L661" i="1"/>
  <c r="M661" i="1"/>
  <c r="N661" i="1"/>
  <c r="O736" i="1"/>
  <c r="O661" i="1" s="1"/>
  <c r="P661" i="1"/>
  <c r="Q661" i="1"/>
  <c r="R661" i="1"/>
  <c r="S736" i="1"/>
  <c r="S661" i="1"/>
  <c r="T661" i="1"/>
  <c r="U661" i="1"/>
  <c r="V661" i="1"/>
  <c r="W736" i="1"/>
  <c r="W661" i="1"/>
  <c r="X661" i="1"/>
  <c r="Y661" i="1"/>
  <c r="Z661" i="1"/>
  <c r="AA736" i="1"/>
  <c r="AA661" i="1"/>
  <c r="AB661" i="1"/>
  <c r="AC661" i="1"/>
  <c r="AD661" i="1"/>
  <c r="AE736" i="1"/>
  <c r="AE661" i="1"/>
  <c r="AF661" i="1"/>
  <c r="AG661" i="1"/>
  <c r="AH661" i="1"/>
  <c r="AV661" i="1"/>
  <c r="H662" i="1"/>
  <c r="I662" i="1"/>
  <c r="J662" i="1"/>
  <c r="K737" i="1"/>
  <c r="K662" i="1" s="1"/>
  <c r="L662" i="1"/>
  <c r="M662" i="1"/>
  <c r="N662" i="1"/>
  <c r="O737" i="1"/>
  <c r="O662" i="1" s="1"/>
  <c r="P662" i="1"/>
  <c r="Q662" i="1"/>
  <c r="R662" i="1"/>
  <c r="S737" i="1"/>
  <c r="S662" i="1"/>
  <c r="T662" i="1"/>
  <c r="U662" i="1"/>
  <c r="V662" i="1"/>
  <c r="W737" i="1"/>
  <c r="W662" i="1"/>
  <c r="X662" i="1"/>
  <c r="Y662" i="1"/>
  <c r="Z662" i="1"/>
  <c r="AA737" i="1"/>
  <c r="AA662" i="1" s="1"/>
  <c r="AB662" i="1"/>
  <c r="AC662" i="1"/>
  <c r="AD662" i="1"/>
  <c r="AE737" i="1"/>
  <c r="AE662" i="1" s="1"/>
  <c r="AF662" i="1"/>
  <c r="AG662" i="1"/>
  <c r="AH662" i="1"/>
  <c r="AV662" i="1"/>
  <c r="H663" i="1"/>
  <c r="I663" i="1"/>
  <c r="J663" i="1"/>
  <c r="K738" i="1"/>
  <c r="K663" i="1" s="1"/>
  <c r="L663" i="1"/>
  <c r="M663" i="1"/>
  <c r="N663" i="1"/>
  <c r="O738" i="1"/>
  <c r="O663" i="1"/>
  <c r="P663" i="1"/>
  <c r="Q663" i="1"/>
  <c r="R663" i="1"/>
  <c r="S738" i="1"/>
  <c r="S663" i="1" s="1"/>
  <c r="T663" i="1"/>
  <c r="U663" i="1"/>
  <c r="V663" i="1"/>
  <c r="W738" i="1"/>
  <c r="W663" i="1"/>
  <c r="X663" i="1"/>
  <c r="Y663" i="1"/>
  <c r="Z663" i="1"/>
  <c r="AA738" i="1"/>
  <c r="AA663" i="1" s="1"/>
  <c r="AB663" i="1"/>
  <c r="AC663" i="1"/>
  <c r="AD663" i="1"/>
  <c r="AE738" i="1"/>
  <c r="AE663" i="1"/>
  <c r="AF663" i="1"/>
  <c r="AG663" i="1"/>
  <c r="AH663" i="1"/>
  <c r="AV663" i="1"/>
  <c r="H665" i="1"/>
  <c r="I665" i="1"/>
  <c r="J665" i="1"/>
  <c r="K740" i="1"/>
  <c r="K665" i="1"/>
  <c r="L665" i="1"/>
  <c r="M665" i="1"/>
  <c r="N665" i="1"/>
  <c r="O740" i="1"/>
  <c r="O665" i="1" s="1"/>
  <c r="P665" i="1"/>
  <c r="Q665" i="1"/>
  <c r="R665" i="1"/>
  <c r="S740" i="1"/>
  <c r="S665" i="1" s="1"/>
  <c r="T665" i="1"/>
  <c r="U665" i="1"/>
  <c r="V665" i="1"/>
  <c r="W740" i="1"/>
  <c r="W665" i="1" s="1"/>
  <c r="X665" i="1"/>
  <c r="Y665" i="1"/>
  <c r="Z665" i="1"/>
  <c r="AA740" i="1"/>
  <c r="AA665" i="1"/>
  <c r="AB665" i="1"/>
  <c r="AC665" i="1"/>
  <c r="AD665" i="1"/>
  <c r="AE740" i="1"/>
  <c r="AE665" i="1"/>
  <c r="AF665" i="1"/>
  <c r="AG665" i="1"/>
  <c r="AH665" i="1"/>
  <c r="AV665" i="1"/>
  <c r="H666" i="1"/>
  <c r="I666" i="1"/>
  <c r="J666" i="1"/>
  <c r="K741" i="1"/>
  <c r="K666" i="1" s="1"/>
  <c r="L666" i="1"/>
  <c r="M666" i="1"/>
  <c r="N666" i="1"/>
  <c r="O741" i="1"/>
  <c r="O666" i="1"/>
  <c r="P666" i="1"/>
  <c r="Q666" i="1"/>
  <c r="R666" i="1"/>
  <c r="S741" i="1"/>
  <c r="S666" i="1" s="1"/>
  <c r="T666" i="1"/>
  <c r="U666" i="1"/>
  <c r="V666" i="1"/>
  <c r="W741" i="1"/>
  <c r="W666" i="1" s="1"/>
  <c r="X666" i="1"/>
  <c r="Y666" i="1"/>
  <c r="Z666" i="1"/>
  <c r="AA741" i="1"/>
  <c r="AA666" i="1"/>
  <c r="AB666" i="1"/>
  <c r="AC666" i="1"/>
  <c r="AD666" i="1"/>
  <c r="AE741" i="1"/>
  <c r="AE666" i="1"/>
  <c r="AF666" i="1"/>
  <c r="AG666" i="1"/>
  <c r="AH666" i="1"/>
  <c r="AV666" i="1"/>
  <c r="H667" i="1"/>
  <c r="I667" i="1"/>
  <c r="J667" i="1"/>
  <c r="K742" i="1"/>
  <c r="K667" i="1"/>
  <c r="L667" i="1"/>
  <c r="M667" i="1"/>
  <c r="N667" i="1"/>
  <c r="O742" i="1"/>
  <c r="O667" i="1"/>
  <c r="P667" i="1"/>
  <c r="Q667" i="1"/>
  <c r="R667" i="1"/>
  <c r="S742" i="1"/>
  <c r="S667" i="1"/>
  <c r="T667" i="1"/>
  <c r="U667" i="1"/>
  <c r="V667" i="1"/>
  <c r="W742" i="1"/>
  <c r="W667" i="1"/>
  <c r="X667" i="1"/>
  <c r="Y667" i="1"/>
  <c r="Z667" i="1"/>
  <c r="AA742" i="1"/>
  <c r="AA667" i="1" s="1"/>
  <c r="AB667" i="1"/>
  <c r="AC667" i="1"/>
  <c r="AD667" i="1"/>
  <c r="AE742" i="1"/>
  <c r="AE667" i="1"/>
  <c r="AF667" i="1"/>
  <c r="AG667" i="1"/>
  <c r="AH667" i="1"/>
  <c r="AV667" i="1"/>
  <c r="H668" i="1"/>
  <c r="I668" i="1"/>
  <c r="J668" i="1"/>
  <c r="K743" i="1"/>
  <c r="K668" i="1"/>
  <c r="L668" i="1"/>
  <c r="M668" i="1"/>
  <c r="N668" i="1"/>
  <c r="O743" i="1"/>
  <c r="O668" i="1"/>
  <c r="P668" i="1"/>
  <c r="Q668" i="1"/>
  <c r="R668" i="1"/>
  <c r="S743" i="1"/>
  <c r="S668" i="1"/>
  <c r="T668" i="1"/>
  <c r="U668" i="1"/>
  <c r="V668" i="1"/>
  <c r="W743" i="1"/>
  <c r="W668" i="1" s="1"/>
  <c r="X668" i="1"/>
  <c r="Y668" i="1"/>
  <c r="Z668" i="1"/>
  <c r="AA743" i="1"/>
  <c r="AA668" i="1" s="1"/>
  <c r="AB668" i="1"/>
  <c r="AC668" i="1"/>
  <c r="AD668" i="1"/>
  <c r="AE743" i="1"/>
  <c r="AE668" i="1" s="1"/>
  <c r="AF668" i="1"/>
  <c r="AG668" i="1"/>
  <c r="AH668" i="1"/>
  <c r="AV668" i="1"/>
  <c r="H669" i="1"/>
  <c r="I669" i="1"/>
  <c r="J669" i="1"/>
  <c r="K744" i="1"/>
  <c r="K669" i="1" s="1"/>
  <c r="L669" i="1"/>
  <c r="M669" i="1"/>
  <c r="N669" i="1"/>
  <c r="O744" i="1"/>
  <c r="O669" i="1"/>
  <c r="P669" i="1"/>
  <c r="Q669" i="1"/>
  <c r="R669" i="1"/>
  <c r="S744" i="1"/>
  <c r="S669" i="1" s="1"/>
  <c r="T669" i="1"/>
  <c r="U669" i="1"/>
  <c r="V669" i="1"/>
  <c r="W744" i="1"/>
  <c r="W669" i="1"/>
  <c r="X669" i="1"/>
  <c r="Y669" i="1"/>
  <c r="Z669" i="1"/>
  <c r="AA744" i="1"/>
  <c r="AA669" i="1" s="1"/>
  <c r="AB669" i="1"/>
  <c r="AC669" i="1"/>
  <c r="AD669" i="1"/>
  <c r="AE744" i="1"/>
  <c r="AE669" i="1" s="1"/>
  <c r="AF669" i="1"/>
  <c r="AG669" i="1"/>
  <c r="AH669" i="1"/>
  <c r="AV669" i="1"/>
  <c r="H670" i="1"/>
  <c r="I670" i="1"/>
  <c r="J670" i="1"/>
  <c r="K745" i="1"/>
  <c r="K670" i="1" s="1"/>
  <c r="L670" i="1"/>
  <c r="M670" i="1"/>
  <c r="N670" i="1"/>
  <c r="O745" i="1"/>
  <c r="O670" i="1" s="1"/>
  <c r="P670" i="1"/>
  <c r="Q670" i="1"/>
  <c r="R670" i="1"/>
  <c r="S745" i="1"/>
  <c r="S670" i="1" s="1"/>
  <c r="T670" i="1"/>
  <c r="U670" i="1"/>
  <c r="V670" i="1"/>
  <c r="W745" i="1"/>
  <c r="W670" i="1"/>
  <c r="X670" i="1"/>
  <c r="Y670" i="1"/>
  <c r="Z670" i="1"/>
  <c r="AA745" i="1"/>
  <c r="AA670" i="1" s="1"/>
  <c r="AB670" i="1"/>
  <c r="AC670" i="1"/>
  <c r="AD670" i="1"/>
  <c r="AE745" i="1"/>
  <c r="AE670" i="1"/>
  <c r="AF670" i="1"/>
  <c r="AG670" i="1"/>
  <c r="AH670" i="1"/>
  <c r="AV670" i="1"/>
  <c r="H671" i="1"/>
  <c r="I671" i="1"/>
  <c r="J671" i="1"/>
  <c r="K746" i="1"/>
  <c r="K671" i="1" s="1"/>
  <c r="L671" i="1"/>
  <c r="M671" i="1"/>
  <c r="N671" i="1"/>
  <c r="O746" i="1"/>
  <c r="O671" i="1" s="1"/>
  <c r="P671" i="1"/>
  <c r="Q671" i="1"/>
  <c r="R671" i="1"/>
  <c r="S746" i="1"/>
  <c r="S671" i="1"/>
  <c r="T671" i="1"/>
  <c r="U671" i="1"/>
  <c r="V671" i="1"/>
  <c r="W746" i="1"/>
  <c r="W671" i="1"/>
  <c r="X671" i="1"/>
  <c r="Y671" i="1"/>
  <c r="Z671" i="1"/>
  <c r="AA746" i="1"/>
  <c r="AA671" i="1"/>
  <c r="AB671" i="1"/>
  <c r="AC671" i="1"/>
  <c r="AD671" i="1"/>
  <c r="AE746" i="1"/>
  <c r="AE671" i="1" s="1"/>
  <c r="AF671" i="1"/>
  <c r="AG671" i="1"/>
  <c r="AH671" i="1"/>
  <c r="AV671" i="1"/>
  <c r="H672" i="1"/>
  <c r="I672" i="1"/>
  <c r="J672" i="1"/>
  <c r="K747" i="1"/>
  <c r="K672" i="1"/>
  <c r="L672" i="1"/>
  <c r="M672" i="1"/>
  <c r="N672" i="1"/>
  <c r="O747" i="1"/>
  <c r="O672" i="1"/>
  <c r="P672" i="1"/>
  <c r="Q672" i="1"/>
  <c r="R672" i="1"/>
  <c r="S747" i="1"/>
  <c r="S672" i="1" s="1"/>
  <c r="T672" i="1"/>
  <c r="U672" i="1"/>
  <c r="V672" i="1"/>
  <c r="W747" i="1"/>
  <c r="W672" i="1"/>
  <c r="X672" i="1"/>
  <c r="Y672" i="1"/>
  <c r="Z672" i="1"/>
  <c r="AA747" i="1"/>
  <c r="AA672" i="1" s="1"/>
  <c r="AB672" i="1"/>
  <c r="AC672" i="1"/>
  <c r="AD672" i="1"/>
  <c r="AE747" i="1"/>
  <c r="AE672" i="1"/>
  <c r="AF672" i="1"/>
  <c r="AG672" i="1"/>
  <c r="AH672" i="1"/>
  <c r="AV672" i="1"/>
  <c r="H673" i="1"/>
  <c r="I673" i="1"/>
  <c r="J673" i="1"/>
  <c r="K748" i="1"/>
  <c r="K673" i="1"/>
  <c r="L673" i="1"/>
  <c r="M673" i="1"/>
  <c r="N673" i="1"/>
  <c r="O748" i="1"/>
  <c r="O673" i="1" s="1"/>
  <c r="P673" i="1"/>
  <c r="Q673" i="1"/>
  <c r="R673" i="1"/>
  <c r="S748" i="1"/>
  <c r="S673" i="1" s="1"/>
  <c r="T673" i="1"/>
  <c r="U673" i="1"/>
  <c r="V673" i="1"/>
  <c r="W748" i="1"/>
  <c r="W673" i="1" s="1"/>
  <c r="X673" i="1"/>
  <c r="Y673" i="1"/>
  <c r="Z673" i="1"/>
  <c r="AA748" i="1"/>
  <c r="AA673" i="1" s="1"/>
  <c r="AB673" i="1"/>
  <c r="AC673" i="1"/>
  <c r="AD673" i="1"/>
  <c r="AE748" i="1"/>
  <c r="AE673" i="1"/>
  <c r="AF673" i="1"/>
  <c r="AG673" i="1"/>
  <c r="AH673" i="1"/>
  <c r="AV673" i="1"/>
  <c r="H674" i="1"/>
  <c r="I674" i="1"/>
  <c r="J674" i="1"/>
  <c r="K749" i="1"/>
  <c r="K674" i="1" s="1"/>
  <c r="L674" i="1"/>
  <c r="M674" i="1"/>
  <c r="N674" i="1"/>
  <c r="O749" i="1"/>
  <c r="O674" i="1"/>
  <c r="P674" i="1"/>
  <c r="Q674" i="1"/>
  <c r="R674" i="1"/>
  <c r="S749" i="1"/>
  <c r="S674" i="1" s="1"/>
  <c r="T674" i="1"/>
  <c r="U674" i="1"/>
  <c r="V674" i="1"/>
  <c r="W749" i="1"/>
  <c r="W674" i="1" s="1"/>
  <c r="X674" i="1"/>
  <c r="Y674" i="1"/>
  <c r="Z674" i="1"/>
  <c r="AA749" i="1"/>
  <c r="AA674" i="1"/>
  <c r="AB674" i="1"/>
  <c r="AC674" i="1"/>
  <c r="AD674" i="1"/>
  <c r="AE749" i="1"/>
  <c r="AE674" i="1"/>
  <c r="AF674" i="1"/>
  <c r="AG674" i="1"/>
  <c r="AH674" i="1"/>
  <c r="AV674" i="1"/>
  <c r="H675" i="1"/>
  <c r="I675" i="1"/>
  <c r="J675" i="1"/>
  <c r="K750" i="1"/>
  <c r="K675" i="1" s="1"/>
  <c r="L675" i="1"/>
  <c r="M675" i="1"/>
  <c r="N675" i="1"/>
  <c r="O750" i="1"/>
  <c r="O675" i="1"/>
  <c r="P675" i="1"/>
  <c r="Q675" i="1"/>
  <c r="R675" i="1"/>
  <c r="S750" i="1"/>
  <c r="S675" i="1" s="1"/>
  <c r="T675" i="1"/>
  <c r="U675" i="1"/>
  <c r="V675" i="1"/>
  <c r="W750" i="1"/>
  <c r="W675" i="1"/>
  <c r="X675" i="1"/>
  <c r="Y675" i="1"/>
  <c r="Z675" i="1"/>
  <c r="AA750" i="1"/>
  <c r="AA675" i="1" s="1"/>
  <c r="AB675" i="1"/>
  <c r="AC675" i="1"/>
  <c r="AD675" i="1"/>
  <c r="AE750" i="1"/>
  <c r="AE675" i="1"/>
  <c r="AF675" i="1"/>
  <c r="AG675" i="1"/>
  <c r="AH675" i="1"/>
  <c r="AV675" i="1"/>
  <c r="H676" i="1"/>
  <c r="I676" i="1"/>
  <c r="J676" i="1"/>
  <c r="K676" i="1"/>
  <c r="L676" i="1"/>
  <c r="M676" i="1"/>
  <c r="N676" i="1"/>
  <c r="O751" i="1"/>
  <c r="O676" i="1" s="1"/>
  <c r="P676" i="1"/>
  <c r="Q676" i="1"/>
  <c r="R676" i="1"/>
  <c r="S751" i="1"/>
  <c r="S676" i="1" s="1"/>
  <c r="T676" i="1"/>
  <c r="U676" i="1"/>
  <c r="V676" i="1"/>
  <c r="W751" i="1"/>
  <c r="W676" i="1" s="1"/>
  <c r="X676" i="1"/>
  <c r="Y676" i="1"/>
  <c r="Z676" i="1"/>
  <c r="AA751" i="1"/>
  <c r="AA676" i="1"/>
  <c r="AB676" i="1"/>
  <c r="AC676" i="1"/>
  <c r="AD676" i="1"/>
  <c r="AE751" i="1"/>
  <c r="AE676" i="1" s="1"/>
  <c r="AF676" i="1"/>
  <c r="AG676" i="1"/>
  <c r="AH676" i="1"/>
  <c r="AV676" i="1"/>
  <c r="H677" i="1"/>
  <c r="I677" i="1"/>
  <c r="J677" i="1"/>
  <c r="K752" i="1"/>
  <c r="K677" i="1"/>
  <c r="L677" i="1"/>
  <c r="M677" i="1"/>
  <c r="N677" i="1"/>
  <c r="O752" i="1"/>
  <c r="O677" i="1" s="1"/>
  <c r="P677" i="1"/>
  <c r="Q677" i="1"/>
  <c r="R677" i="1"/>
  <c r="S752" i="1"/>
  <c r="S677" i="1" s="1"/>
  <c r="T677" i="1"/>
  <c r="U677" i="1"/>
  <c r="V677" i="1"/>
  <c r="W752" i="1"/>
  <c r="W677" i="1"/>
  <c r="X677" i="1"/>
  <c r="Y677" i="1"/>
  <c r="Z677" i="1"/>
  <c r="AA752" i="1"/>
  <c r="AA677" i="1"/>
  <c r="AB677" i="1"/>
  <c r="AC677" i="1"/>
  <c r="AD677" i="1"/>
  <c r="AE752" i="1"/>
  <c r="AE677" i="1"/>
  <c r="AF677" i="1"/>
  <c r="AG677" i="1"/>
  <c r="AH677" i="1"/>
  <c r="AV677" i="1"/>
  <c r="H678" i="1"/>
  <c r="I678" i="1"/>
  <c r="J678" i="1"/>
  <c r="K753" i="1"/>
  <c r="K678" i="1"/>
  <c r="L678" i="1"/>
  <c r="M678" i="1"/>
  <c r="N678" i="1"/>
  <c r="O753" i="1"/>
  <c r="O678" i="1"/>
  <c r="P678" i="1"/>
  <c r="Q678" i="1"/>
  <c r="R678" i="1"/>
  <c r="S753" i="1"/>
  <c r="S678" i="1"/>
  <c r="T678" i="1"/>
  <c r="U678" i="1"/>
  <c r="V678" i="1"/>
  <c r="W753" i="1"/>
  <c r="W678" i="1" s="1"/>
  <c r="X678" i="1"/>
  <c r="Y678" i="1"/>
  <c r="Z678" i="1"/>
  <c r="AA753" i="1"/>
  <c r="AA678" i="1"/>
  <c r="AB678" i="1"/>
  <c r="AC678" i="1"/>
  <c r="AD678" i="1"/>
  <c r="AE753" i="1"/>
  <c r="AE678" i="1" s="1"/>
  <c r="AF678" i="1"/>
  <c r="AG678" i="1"/>
  <c r="AH678" i="1"/>
  <c r="AV678" i="1"/>
  <c r="H679" i="1"/>
  <c r="I679" i="1"/>
  <c r="J679" i="1"/>
  <c r="AQ754" i="1"/>
  <c r="K754" i="1"/>
  <c r="K679" i="1" s="1"/>
  <c r="L679" i="1"/>
  <c r="M679" i="1"/>
  <c r="N679" i="1"/>
  <c r="AR754" i="1"/>
  <c r="O754" i="1" s="1"/>
  <c r="O679" i="1" s="1"/>
  <c r="P679" i="1"/>
  <c r="Q679" i="1"/>
  <c r="R679" i="1"/>
  <c r="AS754" i="1"/>
  <c r="S754" i="1"/>
  <c r="S679" i="1" s="1"/>
  <c r="T679" i="1"/>
  <c r="U679" i="1"/>
  <c r="V679" i="1"/>
  <c r="AT754" i="1"/>
  <c r="W754" i="1"/>
  <c r="W679" i="1" s="1"/>
  <c r="X679" i="1"/>
  <c r="Y679" i="1"/>
  <c r="Z679" i="1"/>
  <c r="AU754" i="1"/>
  <c r="AA754" i="1"/>
  <c r="AA679" i="1" s="1"/>
  <c r="AB679" i="1"/>
  <c r="AC679" i="1"/>
  <c r="AD679" i="1"/>
  <c r="AE754" i="1"/>
  <c r="AE679" i="1"/>
  <c r="AF679" i="1"/>
  <c r="AG679" i="1"/>
  <c r="AH679" i="1"/>
  <c r="H682" i="1"/>
  <c r="I682" i="1"/>
  <c r="J682" i="1"/>
  <c r="K757" i="1"/>
  <c r="K682" i="1" s="1"/>
  <c r="L682" i="1"/>
  <c r="M682" i="1"/>
  <c r="N682" i="1"/>
  <c r="O757" i="1"/>
  <c r="O682" i="1"/>
  <c r="P682" i="1"/>
  <c r="Q682" i="1"/>
  <c r="R682" i="1"/>
  <c r="S757" i="1"/>
  <c r="S682" i="1"/>
  <c r="T682" i="1"/>
  <c r="U682" i="1"/>
  <c r="V682" i="1"/>
  <c r="W757" i="1"/>
  <c r="W682" i="1"/>
  <c r="X682" i="1"/>
  <c r="Y682" i="1"/>
  <c r="Z682" i="1"/>
  <c r="AA757" i="1"/>
  <c r="AA682" i="1" s="1"/>
  <c r="AB682" i="1"/>
  <c r="AC682" i="1"/>
  <c r="AD682" i="1"/>
  <c r="AE757" i="1"/>
  <c r="AE682" i="1" s="1"/>
  <c r="AF682" i="1"/>
  <c r="AG682" i="1"/>
  <c r="AH682" i="1"/>
  <c r="AV682" i="1"/>
  <c r="H683" i="1"/>
  <c r="I683" i="1"/>
  <c r="J683" i="1"/>
  <c r="K758" i="1"/>
  <c r="K683" i="1"/>
  <c r="L683" i="1"/>
  <c r="M683" i="1"/>
  <c r="N683" i="1"/>
  <c r="O758" i="1"/>
  <c r="O683" i="1" s="1"/>
  <c r="P683" i="1"/>
  <c r="Q683" i="1"/>
  <c r="R683" i="1"/>
  <c r="S758" i="1"/>
  <c r="S683" i="1"/>
  <c r="T683" i="1"/>
  <c r="U683" i="1"/>
  <c r="V683" i="1"/>
  <c r="W758" i="1"/>
  <c r="W683" i="1" s="1"/>
  <c r="X683" i="1"/>
  <c r="Y683" i="1"/>
  <c r="Z683" i="1"/>
  <c r="AA758" i="1"/>
  <c r="AA683" i="1"/>
  <c r="AB683" i="1"/>
  <c r="AC683" i="1"/>
  <c r="AD683" i="1"/>
  <c r="AE758" i="1"/>
  <c r="AE683" i="1" s="1"/>
  <c r="AF683" i="1"/>
  <c r="AG683" i="1"/>
  <c r="AH683" i="1"/>
  <c r="AV683" i="1"/>
  <c r="H684" i="1"/>
  <c r="I684" i="1"/>
  <c r="J684" i="1"/>
  <c r="K759" i="1"/>
  <c r="K684" i="1" s="1"/>
  <c r="L684" i="1"/>
  <c r="M684" i="1"/>
  <c r="N684" i="1"/>
  <c r="O759" i="1"/>
  <c r="O684" i="1" s="1"/>
  <c r="P684" i="1"/>
  <c r="Q684" i="1"/>
  <c r="R684" i="1"/>
  <c r="S759" i="1"/>
  <c r="S684" i="1" s="1"/>
  <c r="T684" i="1"/>
  <c r="U684" i="1"/>
  <c r="V684" i="1"/>
  <c r="W759" i="1"/>
  <c r="W684" i="1" s="1"/>
  <c r="X684" i="1"/>
  <c r="Y684" i="1"/>
  <c r="Z684" i="1"/>
  <c r="AA759" i="1"/>
  <c r="AA684" i="1"/>
  <c r="AB684" i="1"/>
  <c r="AC684" i="1"/>
  <c r="AD684" i="1"/>
  <c r="AE759" i="1"/>
  <c r="AE684" i="1"/>
  <c r="AF684" i="1"/>
  <c r="AG684" i="1"/>
  <c r="AH684" i="1"/>
  <c r="AV684" i="1"/>
  <c r="H685" i="1"/>
  <c r="I685" i="1"/>
  <c r="J685" i="1"/>
  <c r="K760" i="1"/>
  <c r="K685" i="1"/>
  <c r="L685" i="1"/>
  <c r="M685" i="1"/>
  <c r="N685" i="1"/>
  <c r="O760" i="1"/>
  <c r="O685" i="1" s="1"/>
  <c r="P685" i="1"/>
  <c r="Q685" i="1"/>
  <c r="R685" i="1"/>
  <c r="S760" i="1"/>
  <c r="S685" i="1" s="1"/>
  <c r="T685" i="1"/>
  <c r="U685" i="1"/>
  <c r="V685" i="1"/>
  <c r="W760" i="1"/>
  <c r="W685" i="1"/>
  <c r="X685" i="1"/>
  <c r="Y685" i="1"/>
  <c r="Z685" i="1"/>
  <c r="AA760" i="1"/>
  <c r="AA685" i="1"/>
  <c r="AB685" i="1"/>
  <c r="AC685" i="1"/>
  <c r="AD685" i="1"/>
  <c r="AE760" i="1"/>
  <c r="AE685" i="1"/>
  <c r="AF685" i="1"/>
  <c r="AG685" i="1"/>
  <c r="AH685" i="1"/>
  <c r="AV685" i="1"/>
  <c r="H686" i="1"/>
  <c r="I686" i="1"/>
  <c r="J686" i="1"/>
  <c r="K761" i="1"/>
  <c r="K686" i="1"/>
  <c r="L686" i="1"/>
  <c r="M686" i="1"/>
  <c r="N686" i="1"/>
  <c r="O761" i="1"/>
  <c r="O686" i="1" s="1"/>
  <c r="P686" i="1"/>
  <c r="Q686" i="1"/>
  <c r="R686" i="1"/>
  <c r="S761" i="1"/>
  <c r="S686" i="1"/>
  <c r="T686" i="1"/>
  <c r="U686" i="1"/>
  <c r="V686" i="1"/>
  <c r="W761" i="1"/>
  <c r="W686" i="1" s="1"/>
  <c r="X686" i="1"/>
  <c r="Y686" i="1"/>
  <c r="Z686" i="1"/>
  <c r="AA761" i="1"/>
  <c r="AA686" i="1"/>
  <c r="AB686" i="1"/>
  <c r="AC686" i="1"/>
  <c r="AD686" i="1"/>
  <c r="AE761" i="1"/>
  <c r="AE686" i="1" s="1"/>
  <c r="AF686" i="1"/>
  <c r="AG686" i="1"/>
  <c r="AH686" i="1"/>
  <c r="AV686" i="1"/>
  <c r="H687" i="1"/>
  <c r="I687" i="1"/>
  <c r="J687" i="1"/>
  <c r="K762" i="1"/>
  <c r="K687" i="1"/>
  <c r="L687" i="1"/>
  <c r="M687" i="1"/>
  <c r="N687" i="1"/>
  <c r="O762" i="1"/>
  <c r="O687" i="1"/>
  <c r="P687" i="1"/>
  <c r="Q687" i="1"/>
  <c r="R687" i="1"/>
  <c r="S762" i="1"/>
  <c r="S687" i="1" s="1"/>
  <c r="T687" i="1"/>
  <c r="U687" i="1"/>
  <c r="V687" i="1"/>
  <c r="W762" i="1"/>
  <c r="W687" i="1" s="1"/>
  <c r="X687" i="1"/>
  <c r="Y687" i="1"/>
  <c r="Z687" i="1"/>
  <c r="AA762" i="1"/>
  <c r="AA687" i="1" s="1"/>
  <c r="AB687" i="1"/>
  <c r="AC687" i="1"/>
  <c r="AD687" i="1"/>
  <c r="AE762" i="1"/>
  <c r="AE687" i="1" s="1"/>
  <c r="AF687" i="1"/>
  <c r="AG687" i="1"/>
  <c r="AH687" i="1"/>
  <c r="AV687" i="1"/>
  <c r="L688" i="1"/>
  <c r="M688" i="1"/>
  <c r="N688" i="1"/>
  <c r="O763" i="1"/>
  <c r="O688" i="1"/>
  <c r="P688" i="1"/>
  <c r="Q688" i="1"/>
  <c r="R688" i="1"/>
  <c r="S763" i="1"/>
  <c r="S688" i="1" s="1"/>
  <c r="T688" i="1"/>
  <c r="U688" i="1"/>
  <c r="V688" i="1"/>
  <c r="W763" i="1"/>
  <c r="W688" i="1"/>
  <c r="X688" i="1"/>
  <c r="Y688" i="1"/>
  <c r="Z688" i="1"/>
  <c r="AA763" i="1"/>
  <c r="AA688" i="1" s="1"/>
  <c r="AB688" i="1"/>
  <c r="AC688" i="1"/>
  <c r="AD688" i="1"/>
  <c r="AE763" i="1"/>
  <c r="AE688" i="1" s="1"/>
  <c r="AF688" i="1"/>
  <c r="AG688" i="1"/>
  <c r="AH688" i="1"/>
  <c r="AV688" i="1"/>
  <c r="H689" i="1"/>
  <c r="I689" i="1"/>
  <c r="J689" i="1"/>
  <c r="K764" i="1"/>
  <c r="K689" i="1" s="1"/>
  <c r="L689" i="1"/>
  <c r="M689" i="1"/>
  <c r="N689" i="1"/>
  <c r="O764" i="1"/>
  <c r="O689" i="1" s="1"/>
  <c r="P689" i="1"/>
  <c r="Q689" i="1"/>
  <c r="R689" i="1"/>
  <c r="S764" i="1"/>
  <c r="S689" i="1" s="1"/>
  <c r="T689" i="1"/>
  <c r="U689" i="1"/>
  <c r="V689" i="1"/>
  <c r="W764" i="1"/>
  <c r="W689" i="1"/>
  <c r="X689" i="1"/>
  <c r="Y689" i="1"/>
  <c r="Z689" i="1"/>
  <c r="AA764" i="1"/>
  <c r="AA689" i="1"/>
  <c r="AB689" i="1"/>
  <c r="AC689" i="1"/>
  <c r="AD689" i="1"/>
  <c r="AE764" i="1"/>
  <c r="AE689" i="1"/>
  <c r="AF689" i="1"/>
  <c r="AG689" i="1"/>
  <c r="AH689" i="1"/>
  <c r="H690" i="1"/>
  <c r="I690" i="1"/>
  <c r="J690" i="1"/>
  <c r="K765" i="1"/>
  <c r="K690" i="1"/>
  <c r="L690" i="1"/>
  <c r="M690" i="1"/>
  <c r="N690" i="1"/>
  <c r="O765" i="1"/>
  <c r="O690" i="1"/>
  <c r="P690" i="1"/>
  <c r="Q690" i="1"/>
  <c r="R690" i="1"/>
  <c r="S765" i="1"/>
  <c r="S690" i="1" s="1"/>
  <c r="T690" i="1"/>
  <c r="U690" i="1"/>
  <c r="V690" i="1"/>
  <c r="W765" i="1"/>
  <c r="W690" i="1" s="1"/>
  <c r="X690" i="1"/>
  <c r="Y690" i="1"/>
  <c r="Z690" i="1"/>
  <c r="AA765" i="1"/>
  <c r="AA690" i="1" s="1"/>
  <c r="AB690" i="1"/>
  <c r="AC690" i="1"/>
  <c r="AD690" i="1"/>
  <c r="AE765" i="1"/>
  <c r="AE690" i="1" s="1"/>
  <c r="AF690" i="1"/>
  <c r="AG690" i="1"/>
  <c r="AH690" i="1"/>
  <c r="AV690" i="1"/>
  <c r="H691" i="1"/>
  <c r="I691" i="1"/>
  <c r="J691" i="1"/>
  <c r="K766" i="1"/>
  <c r="K691" i="1"/>
  <c r="L691" i="1"/>
  <c r="M691" i="1"/>
  <c r="N691" i="1"/>
  <c r="O766" i="1"/>
  <c r="O691" i="1" s="1"/>
  <c r="P691" i="1"/>
  <c r="Q691" i="1"/>
  <c r="R691" i="1"/>
  <c r="S766" i="1"/>
  <c r="S691" i="1"/>
  <c r="T691" i="1"/>
  <c r="U691" i="1"/>
  <c r="V691" i="1"/>
  <c r="W766" i="1"/>
  <c r="W691" i="1" s="1"/>
  <c r="X691" i="1"/>
  <c r="Y691" i="1"/>
  <c r="Z691" i="1"/>
  <c r="AA766" i="1"/>
  <c r="AA691" i="1" s="1"/>
  <c r="AB691" i="1"/>
  <c r="AC691" i="1"/>
  <c r="AD691" i="1"/>
  <c r="AE766" i="1"/>
  <c r="AE691" i="1"/>
  <c r="AF691" i="1"/>
  <c r="AG691" i="1"/>
  <c r="AH691" i="1"/>
  <c r="AV691" i="1"/>
  <c r="H692" i="1"/>
  <c r="I692" i="1"/>
  <c r="J692" i="1"/>
  <c r="K767" i="1"/>
  <c r="K692" i="1" s="1"/>
  <c r="L692" i="1"/>
  <c r="M692" i="1"/>
  <c r="N692" i="1"/>
  <c r="O767" i="1"/>
  <c r="O692" i="1" s="1"/>
  <c r="P692" i="1"/>
  <c r="Q692" i="1"/>
  <c r="R692" i="1"/>
  <c r="S767" i="1"/>
  <c r="S692" i="1"/>
  <c r="T692" i="1"/>
  <c r="U692" i="1"/>
  <c r="V692" i="1"/>
  <c r="W767" i="1"/>
  <c r="W692" i="1"/>
  <c r="X692" i="1"/>
  <c r="Y692" i="1"/>
  <c r="Z692" i="1"/>
  <c r="AA767" i="1"/>
  <c r="AA692" i="1"/>
  <c r="AB692" i="1"/>
  <c r="AC692" i="1"/>
  <c r="AD692" i="1"/>
  <c r="AE767" i="1"/>
  <c r="AE692" i="1" s="1"/>
  <c r="AF692" i="1"/>
  <c r="AG692" i="1"/>
  <c r="AH692" i="1"/>
  <c r="AV692" i="1"/>
  <c r="H693" i="1"/>
  <c r="I693" i="1"/>
  <c r="J693" i="1"/>
  <c r="K768" i="1"/>
  <c r="K693" i="1" s="1"/>
  <c r="L693" i="1"/>
  <c r="M693" i="1"/>
  <c r="N693" i="1"/>
  <c r="O768" i="1"/>
  <c r="O693" i="1"/>
  <c r="P693" i="1"/>
  <c r="Q693" i="1"/>
  <c r="R693" i="1"/>
  <c r="S768" i="1"/>
  <c r="S693" i="1"/>
  <c r="T693" i="1"/>
  <c r="U693" i="1"/>
  <c r="V693" i="1"/>
  <c r="W768" i="1"/>
  <c r="W693" i="1"/>
  <c r="X693" i="1"/>
  <c r="Y693" i="1"/>
  <c r="Z693" i="1"/>
  <c r="AA768" i="1"/>
  <c r="AA693" i="1" s="1"/>
  <c r="AB693" i="1"/>
  <c r="AC693" i="1"/>
  <c r="AD693" i="1"/>
  <c r="AE768" i="1"/>
  <c r="AE693" i="1" s="1"/>
  <c r="AF693" i="1"/>
  <c r="AG693" i="1"/>
  <c r="AH693" i="1"/>
  <c r="AV693" i="1"/>
  <c r="H694" i="1"/>
  <c r="I694" i="1"/>
  <c r="J694" i="1"/>
  <c r="K769" i="1"/>
  <c r="K694" i="1"/>
  <c r="L694" i="1"/>
  <c r="M694" i="1"/>
  <c r="N694" i="1"/>
  <c r="O769" i="1"/>
  <c r="O694" i="1" s="1"/>
  <c r="P694" i="1"/>
  <c r="Q694" i="1"/>
  <c r="R694" i="1"/>
  <c r="S769" i="1"/>
  <c r="S694" i="1"/>
  <c r="T694" i="1"/>
  <c r="U694" i="1"/>
  <c r="V694" i="1"/>
  <c r="W769" i="1"/>
  <c r="W694" i="1" s="1"/>
  <c r="X694" i="1"/>
  <c r="Y694" i="1"/>
  <c r="Z694" i="1"/>
  <c r="AA769" i="1"/>
  <c r="AA694" i="1"/>
  <c r="AB694" i="1"/>
  <c r="AC694" i="1"/>
  <c r="AD694" i="1"/>
  <c r="AE769" i="1"/>
  <c r="AE694" i="1" s="1"/>
  <c r="AF694" i="1"/>
  <c r="AG694" i="1"/>
  <c r="AH694" i="1"/>
  <c r="AV694" i="1"/>
  <c r="H695" i="1"/>
  <c r="I695" i="1"/>
  <c r="J695" i="1"/>
  <c r="K770" i="1"/>
  <c r="K695" i="1" s="1"/>
  <c r="L695" i="1"/>
  <c r="M695" i="1"/>
  <c r="N695" i="1"/>
  <c r="O770" i="1"/>
  <c r="O695" i="1" s="1"/>
  <c r="P695" i="1"/>
  <c r="Q695" i="1"/>
  <c r="R695" i="1"/>
  <c r="S770" i="1"/>
  <c r="S695" i="1" s="1"/>
  <c r="T695" i="1"/>
  <c r="U695" i="1"/>
  <c r="V695" i="1"/>
  <c r="W770" i="1"/>
  <c r="W695" i="1" s="1"/>
  <c r="X695" i="1"/>
  <c r="Y695" i="1"/>
  <c r="Z695" i="1"/>
  <c r="AA770" i="1"/>
  <c r="AA695" i="1"/>
  <c r="AB695" i="1"/>
  <c r="AC695" i="1"/>
  <c r="AD695" i="1"/>
  <c r="AE770" i="1"/>
  <c r="AE695" i="1" s="1"/>
  <c r="AF695" i="1"/>
  <c r="AG695" i="1"/>
  <c r="AH695" i="1"/>
  <c r="AV695" i="1"/>
  <c r="H696" i="1"/>
  <c r="I696" i="1"/>
  <c r="J696" i="1"/>
  <c r="AQ771" i="1"/>
  <c r="K771" i="1"/>
  <c r="K696" i="1" s="1"/>
  <c r="L696" i="1"/>
  <c r="M696" i="1"/>
  <c r="N696" i="1"/>
  <c r="AR771" i="1"/>
  <c r="O771" i="1"/>
  <c r="O696" i="1"/>
  <c r="P696" i="1"/>
  <c r="Q696" i="1"/>
  <c r="R696" i="1"/>
  <c r="AS771" i="1"/>
  <c r="S771" i="1"/>
  <c r="S696" i="1" s="1"/>
  <c r="T696" i="1"/>
  <c r="U696" i="1"/>
  <c r="V696" i="1"/>
  <c r="AT771" i="1"/>
  <c r="W771" i="1"/>
  <c r="W696" i="1" s="1"/>
  <c r="X696" i="1"/>
  <c r="Y696" i="1"/>
  <c r="Z696" i="1"/>
  <c r="AU771" i="1"/>
  <c r="AA771" i="1" s="1"/>
  <c r="AA696" i="1" s="1"/>
  <c r="AB696" i="1"/>
  <c r="AC696" i="1"/>
  <c r="AD696" i="1"/>
  <c r="AV771" i="1"/>
  <c r="AE771" i="1" s="1"/>
  <c r="AE696" i="1" s="1"/>
  <c r="AF696" i="1"/>
  <c r="AG696" i="1"/>
  <c r="AH696" i="1"/>
  <c r="AO696" i="1"/>
  <c r="AP696" i="1"/>
  <c r="AP718" i="1" s="1"/>
  <c r="AQ696" i="1"/>
  <c r="AQ718" i="1" s="1"/>
  <c r="AR696" i="1"/>
  <c r="AR718" i="1" s="1"/>
  <c r="AS696" i="1"/>
  <c r="AS718" i="1" s="1"/>
  <c r="AT696" i="1"/>
  <c r="AU696" i="1"/>
  <c r="AV696" i="1"/>
  <c r="H699" i="1"/>
  <c r="I699" i="1"/>
  <c r="J699" i="1"/>
  <c r="K774" i="1"/>
  <c r="K699" i="1"/>
  <c r="L699" i="1"/>
  <c r="M699" i="1"/>
  <c r="N699" i="1"/>
  <c r="O774" i="1"/>
  <c r="O699" i="1"/>
  <c r="P699" i="1"/>
  <c r="Q699" i="1"/>
  <c r="R699" i="1"/>
  <c r="S774" i="1"/>
  <c r="S699" i="1"/>
  <c r="T699" i="1"/>
  <c r="U699" i="1"/>
  <c r="V699" i="1"/>
  <c r="W774" i="1"/>
  <c r="W699" i="1" s="1"/>
  <c r="X699" i="1"/>
  <c r="Y699" i="1"/>
  <c r="Z699" i="1"/>
  <c r="AA774" i="1"/>
  <c r="AA699" i="1" s="1"/>
  <c r="AB699" i="1"/>
  <c r="AC699" i="1"/>
  <c r="AD699" i="1"/>
  <c r="AE774" i="1"/>
  <c r="AE699" i="1" s="1"/>
  <c r="AF699" i="1"/>
  <c r="AG699" i="1"/>
  <c r="AH699" i="1"/>
  <c r="AV699" i="1"/>
  <c r="H700" i="1"/>
  <c r="I700" i="1"/>
  <c r="J700" i="1"/>
  <c r="K775" i="1"/>
  <c r="K700" i="1" s="1"/>
  <c r="L700" i="1"/>
  <c r="M700" i="1"/>
  <c r="N700" i="1"/>
  <c r="O775" i="1"/>
  <c r="O700" i="1"/>
  <c r="P700" i="1"/>
  <c r="Q700" i="1"/>
  <c r="R700" i="1"/>
  <c r="S775" i="1"/>
  <c r="S700" i="1" s="1"/>
  <c r="T700" i="1"/>
  <c r="U700" i="1"/>
  <c r="V700" i="1"/>
  <c r="W775" i="1"/>
  <c r="W700" i="1"/>
  <c r="X700" i="1"/>
  <c r="Y700" i="1"/>
  <c r="Z700" i="1"/>
  <c r="AA775" i="1"/>
  <c r="AA700" i="1" s="1"/>
  <c r="AB700" i="1"/>
  <c r="AC700" i="1"/>
  <c r="AD700" i="1"/>
  <c r="AE775" i="1"/>
  <c r="AE700" i="1" s="1"/>
  <c r="AF700" i="1"/>
  <c r="AG700" i="1"/>
  <c r="AH700" i="1"/>
  <c r="H701" i="1"/>
  <c r="I701" i="1"/>
  <c r="J701" i="1"/>
  <c r="K701" i="1"/>
  <c r="L701" i="1"/>
  <c r="M701" i="1"/>
  <c r="N701" i="1"/>
  <c r="O776" i="1"/>
  <c r="O701" i="1"/>
  <c r="P701" i="1"/>
  <c r="Q701" i="1"/>
  <c r="R701" i="1"/>
  <c r="S776" i="1"/>
  <c r="S701" i="1" s="1"/>
  <c r="T701" i="1"/>
  <c r="U701" i="1"/>
  <c r="V701" i="1"/>
  <c r="W776" i="1"/>
  <c r="W701" i="1"/>
  <c r="X701" i="1"/>
  <c r="Y701" i="1"/>
  <c r="Z701" i="1"/>
  <c r="AA776" i="1"/>
  <c r="AA701" i="1" s="1"/>
  <c r="AB701" i="1"/>
  <c r="AC701" i="1"/>
  <c r="AD701" i="1"/>
  <c r="AE776" i="1"/>
  <c r="AE701" i="1" s="1"/>
  <c r="AF701" i="1"/>
  <c r="AG701" i="1"/>
  <c r="AH701" i="1"/>
  <c r="AV701" i="1"/>
  <c r="H702" i="1"/>
  <c r="I702" i="1"/>
  <c r="J702" i="1"/>
  <c r="K777" i="1"/>
  <c r="K702" i="1" s="1"/>
  <c r="L702" i="1"/>
  <c r="M702" i="1"/>
  <c r="N702" i="1"/>
  <c r="O777" i="1"/>
  <c r="O702" i="1" s="1"/>
  <c r="P702" i="1"/>
  <c r="Q702" i="1"/>
  <c r="R702" i="1"/>
  <c r="S777" i="1"/>
  <c r="S702" i="1" s="1"/>
  <c r="T702" i="1"/>
  <c r="U702" i="1"/>
  <c r="V702" i="1"/>
  <c r="W777" i="1"/>
  <c r="W702" i="1"/>
  <c r="X702" i="1"/>
  <c r="Y702" i="1"/>
  <c r="Z702" i="1"/>
  <c r="AA777" i="1"/>
  <c r="AA702" i="1" s="1"/>
  <c r="AB702" i="1"/>
  <c r="AC702" i="1"/>
  <c r="AD702" i="1"/>
  <c r="AE777" i="1"/>
  <c r="AE702" i="1"/>
  <c r="AF702" i="1"/>
  <c r="AG702" i="1"/>
  <c r="AH702" i="1"/>
  <c r="AV702" i="1"/>
  <c r="H703" i="1"/>
  <c r="I703" i="1"/>
  <c r="J703" i="1"/>
  <c r="K778" i="1"/>
  <c r="K703" i="1" s="1"/>
  <c r="L703" i="1"/>
  <c r="M703" i="1"/>
  <c r="N703" i="1"/>
  <c r="O778" i="1"/>
  <c r="O703" i="1" s="1"/>
  <c r="P703" i="1"/>
  <c r="Q703" i="1"/>
  <c r="R703" i="1"/>
  <c r="S778" i="1"/>
  <c r="S703" i="1"/>
  <c r="T703" i="1"/>
  <c r="U703" i="1"/>
  <c r="V703" i="1"/>
  <c r="W778" i="1"/>
  <c r="W703" i="1"/>
  <c r="X703" i="1"/>
  <c r="Y703" i="1"/>
  <c r="Z703" i="1"/>
  <c r="AA778" i="1"/>
  <c r="AA703" i="1"/>
  <c r="AB703" i="1"/>
  <c r="AC703" i="1"/>
  <c r="AD703" i="1"/>
  <c r="AE778" i="1"/>
  <c r="AE703" i="1" s="1"/>
  <c r="AF703" i="1"/>
  <c r="AG703" i="1"/>
  <c r="AH703" i="1"/>
  <c r="AV703" i="1"/>
  <c r="H704" i="1"/>
  <c r="I704" i="1"/>
  <c r="J704" i="1"/>
  <c r="K779" i="1"/>
  <c r="K704" i="1" s="1"/>
  <c r="L704" i="1"/>
  <c r="M704" i="1"/>
  <c r="N704" i="1"/>
  <c r="O779" i="1"/>
  <c r="O704" i="1"/>
  <c r="P704" i="1"/>
  <c r="Q704" i="1"/>
  <c r="R704" i="1"/>
  <c r="S779" i="1"/>
  <c r="S704" i="1" s="1"/>
  <c r="T704" i="1"/>
  <c r="U704" i="1"/>
  <c r="V704" i="1"/>
  <c r="W779" i="1"/>
  <c r="W704" i="1"/>
  <c r="X704" i="1"/>
  <c r="Y704" i="1"/>
  <c r="Z704" i="1"/>
  <c r="AA779" i="1"/>
  <c r="AA704" i="1" s="1"/>
  <c r="AB704" i="1"/>
  <c r="AC704" i="1"/>
  <c r="AD704" i="1"/>
  <c r="AE779" i="1"/>
  <c r="AE704" i="1"/>
  <c r="AF704" i="1"/>
  <c r="AG704" i="1"/>
  <c r="AH704" i="1"/>
  <c r="H705" i="1"/>
  <c r="I705" i="1"/>
  <c r="J705" i="1"/>
  <c r="K780" i="1"/>
  <c r="K705" i="1" s="1"/>
  <c r="L705" i="1"/>
  <c r="M705" i="1"/>
  <c r="N705" i="1"/>
  <c r="O780" i="1"/>
  <c r="O705" i="1" s="1"/>
  <c r="P705" i="1"/>
  <c r="Q705" i="1"/>
  <c r="R705" i="1"/>
  <c r="S780" i="1"/>
  <c r="S705" i="1"/>
  <c r="T705" i="1"/>
  <c r="U705" i="1"/>
  <c r="V705" i="1"/>
  <c r="W780" i="1"/>
  <c r="W705" i="1" s="1"/>
  <c r="X705" i="1"/>
  <c r="Y705" i="1"/>
  <c r="Z705" i="1"/>
  <c r="AA780" i="1"/>
  <c r="AA705" i="1"/>
  <c r="AB705" i="1"/>
  <c r="AC705" i="1"/>
  <c r="AD705" i="1"/>
  <c r="AE780" i="1"/>
  <c r="AE705" i="1" s="1"/>
  <c r="AF705" i="1"/>
  <c r="AG705" i="1"/>
  <c r="AH705" i="1"/>
  <c r="H706" i="1"/>
  <c r="I706" i="1"/>
  <c r="J706" i="1"/>
  <c r="K781" i="1"/>
  <c r="K706" i="1"/>
  <c r="L706" i="1"/>
  <c r="M706" i="1"/>
  <c r="N706" i="1"/>
  <c r="O781" i="1"/>
  <c r="O706" i="1" s="1"/>
  <c r="P706" i="1"/>
  <c r="Q706" i="1"/>
  <c r="R706" i="1"/>
  <c r="S781" i="1"/>
  <c r="S706" i="1" s="1"/>
  <c r="T706" i="1"/>
  <c r="U706" i="1"/>
  <c r="V706" i="1"/>
  <c r="W781" i="1"/>
  <c r="W706" i="1" s="1"/>
  <c r="X706" i="1"/>
  <c r="Y706" i="1"/>
  <c r="Z706" i="1"/>
  <c r="AA781" i="1"/>
  <c r="AA706" i="1" s="1"/>
  <c r="AB706" i="1"/>
  <c r="AC706" i="1"/>
  <c r="AD706" i="1"/>
  <c r="AE781" i="1"/>
  <c r="AE706" i="1"/>
  <c r="AF706" i="1"/>
  <c r="AG706" i="1"/>
  <c r="AH706" i="1"/>
  <c r="AV706" i="1"/>
  <c r="H707" i="1"/>
  <c r="I707" i="1"/>
  <c r="J707" i="1"/>
  <c r="K782" i="1"/>
  <c r="K707" i="1" s="1"/>
  <c r="L707" i="1"/>
  <c r="M707" i="1"/>
  <c r="N707" i="1"/>
  <c r="O782" i="1"/>
  <c r="O707" i="1"/>
  <c r="P707" i="1"/>
  <c r="Q707" i="1"/>
  <c r="R707" i="1"/>
  <c r="S782" i="1"/>
  <c r="S707" i="1" s="1"/>
  <c r="T707" i="1"/>
  <c r="U707" i="1"/>
  <c r="V707" i="1"/>
  <c r="W782" i="1"/>
  <c r="W707" i="1" s="1"/>
  <c r="X707" i="1"/>
  <c r="Y707" i="1"/>
  <c r="Z707" i="1"/>
  <c r="AA782" i="1"/>
  <c r="AA707" i="1"/>
  <c r="AB707" i="1"/>
  <c r="AC707" i="1"/>
  <c r="AD707" i="1"/>
  <c r="AE782" i="1"/>
  <c r="AE707" i="1"/>
  <c r="AF707" i="1"/>
  <c r="AG707" i="1"/>
  <c r="AH707" i="1"/>
  <c r="AV707" i="1"/>
  <c r="H708" i="1"/>
  <c r="I708" i="1"/>
  <c r="J708" i="1"/>
  <c r="K783" i="1"/>
  <c r="K708" i="1" s="1"/>
  <c r="L708" i="1"/>
  <c r="M708" i="1"/>
  <c r="N708" i="1"/>
  <c r="O783" i="1"/>
  <c r="O708" i="1"/>
  <c r="P708" i="1"/>
  <c r="Q708" i="1"/>
  <c r="R708" i="1"/>
  <c r="S783" i="1"/>
  <c r="S708" i="1" s="1"/>
  <c r="T708" i="1"/>
  <c r="U708" i="1"/>
  <c r="V708" i="1"/>
  <c r="W783" i="1"/>
  <c r="W708" i="1"/>
  <c r="X708" i="1"/>
  <c r="Y708" i="1"/>
  <c r="Z708" i="1"/>
  <c r="AA783" i="1"/>
  <c r="AA708" i="1" s="1"/>
  <c r="AB708" i="1"/>
  <c r="AC708" i="1"/>
  <c r="AD708" i="1"/>
  <c r="AE783" i="1"/>
  <c r="AE708" i="1"/>
  <c r="AF708" i="1"/>
  <c r="AG708" i="1"/>
  <c r="AH708" i="1"/>
  <c r="AV708" i="1"/>
  <c r="H709" i="1"/>
  <c r="I709" i="1"/>
  <c r="J709" i="1"/>
  <c r="K784" i="1"/>
  <c r="K709" i="1"/>
  <c r="L709" i="1"/>
  <c r="M709" i="1"/>
  <c r="N709" i="1"/>
  <c r="O784" i="1"/>
  <c r="O709" i="1"/>
  <c r="P709" i="1"/>
  <c r="Q709" i="1"/>
  <c r="R709" i="1"/>
  <c r="S784" i="1"/>
  <c r="S709" i="1"/>
  <c r="T709" i="1"/>
  <c r="U709" i="1"/>
  <c r="V709" i="1"/>
  <c r="W784" i="1"/>
  <c r="W709" i="1" s="1"/>
  <c r="X709" i="1"/>
  <c r="Y709" i="1"/>
  <c r="Z709" i="1"/>
  <c r="AA784" i="1"/>
  <c r="AA709" i="1" s="1"/>
  <c r="AB709" i="1"/>
  <c r="AC709" i="1"/>
  <c r="AD709" i="1"/>
  <c r="AE784" i="1"/>
  <c r="AE709" i="1" s="1"/>
  <c r="AF709" i="1"/>
  <c r="AG709" i="1"/>
  <c r="AH709" i="1"/>
  <c r="AV709" i="1"/>
  <c r="H710" i="1"/>
  <c r="I710" i="1"/>
  <c r="J710" i="1"/>
  <c r="K785" i="1"/>
  <c r="K710" i="1" s="1"/>
  <c r="L710" i="1"/>
  <c r="M710" i="1"/>
  <c r="N710" i="1"/>
  <c r="O785" i="1"/>
  <c r="O710" i="1"/>
  <c r="P710" i="1"/>
  <c r="Q710" i="1"/>
  <c r="R710" i="1"/>
  <c r="S785" i="1"/>
  <c r="S710" i="1" s="1"/>
  <c r="T710" i="1"/>
  <c r="U710" i="1"/>
  <c r="V710" i="1"/>
  <c r="W785" i="1"/>
  <c r="W710" i="1"/>
  <c r="X710" i="1"/>
  <c r="Y710" i="1"/>
  <c r="Z710" i="1"/>
  <c r="AA785" i="1"/>
  <c r="AA710" i="1" s="1"/>
  <c r="AB710" i="1"/>
  <c r="AC710" i="1"/>
  <c r="AD710" i="1"/>
  <c r="AE785" i="1"/>
  <c r="AE710" i="1" s="1"/>
  <c r="AF710" i="1"/>
  <c r="AG710" i="1"/>
  <c r="AH710" i="1"/>
  <c r="AV710" i="1"/>
  <c r="H711" i="1"/>
  <c r="I711" i="1"/>
  <c r="J711" i="1"/>
  <c r="K786" i="1"/>
  <c r="K711" i="1" s="1"/>
  <c r="L711" i="1"/>
  <c r="M711" i="1"/>
  <c r="N711" i="1"/>
  <c r="O786" i="1"/>
  <c r="O711" i="1" s="1"/>
  <c r="P711" i="1"/>
  <c r="Q711" i="1"/>
  <c r="R711" i="1"/>
  <c r="S786" i="1"/>
  <c r="S711" i="1" s="1"/>
  <c r="T711" i="1"/>
  <c r="U711" i="1"/>
  <c r="V711" i="1"/>
  <c r="W786" i="1"/>
  <c r="W711" i="1"/>
  <c r="X711" i="1"/>
  <c r="Y711" i="1"/>
  <c r="Z711" i="1"/>
  <c r="AA786" i="1"/>
  <c r="AA711" i="1"/>
  <c r="AB711" i="1"/>
  <c r="AC711" i="1"/>
  <c r="AD711" i="1"/>
  <c r="AE786" i="1"/>
  <c r="AE711" i="1"/>
  <c r="AF711" i="1"/>
  <c r="AG711" i="1"/>
  <c r="AH711" i="1"/>
  <c r="H712" i="1"/>
  <c r="I712" i="1"/>
  <c r="J712" i="1"/>
  <c r="K787" i="1"/>
  <c r="K712" i="1"/>
  <c r="L712" i="1"/>
  <c r="M712" i="1"/>
  <c r="N712" i="1"/>
  <c r="O787" i="1"/>
  <c r="O712" i="1"/>
  <c r="P712" i="1"/>
  <c r="Q712" i="1"/>
  <c r="R712" i="1"/>
  <c r="S787" i="1"/>
  <c r="S712" i="1" s="1"/>
  <c r="T712" i="1"/>
  <c r="U712" i="1"/>
  <c r="V712" i="1"/>
  <c r="W787" i="1"/>
  <c r="W712" i="1" s="1"/>
  <c r="X712" i="1"/>
  <c r="Y712" i="1"/>
  <c r="Z712" i="1"/>
  <c r="AA787" i="1"/>
  <c r="AA712" i="1" s="1"/>
  <c r="AB712" i="1"/>
  <c r="AC712" i="1"/>
  <c r="AD712" i="1"/>
  <c r="AE787" i="1"/>
  <c r="AE712" i="1" s="1"/>
  <c r="AF712" i="1"/>
  <c r="AG712" i="1"/>
  <c r="AH712" i="1"/>
  <c r="AV712" i="1"/>
  <c r="H713" i="1"/>
  <c r="I713" i="1"/>
  <c r="J713" i="1"/>
  <c r="K788" i="1"/>
  <c r="K713" i="1"/>
  <c r="L713" i="1"/>
  <c r="M713" i="1"/>
  <c r="N713" i="1"/>
  <c r="O788" i="1"/>
  <c r="O713" i="1" s="1"/>
  <c r="P713" i="1"/>
  <c r="Q713" i="1"/>
  <c r="R713" i="1"/>
  <c r="S788" i="1"/>
  <c r="S713" i="1"/>
  <c r="T713" i="1"/>
  <c r="U713" i="1"/>
  <c r="V713" i="1"/>
  <c r="W788" i="1"/>
  <c r="W713" i="1" s="1"/>
  <c r="X713" i="1"/>
  <c r="Y713" i="1"/>
  <c r="Z713" i="1"/>
  <c r="AA788" i="1"/>
  <c r="AA713" i="1" s="1"/>
  <c r="AB713" i="1"/>
  <c r="AC713" i="1"/>
  <c r="AD713" i="1"/>
  <c r="AE788" i="1"/>
  <c r="AE713" i="1"/>
  <c r="AF713" i="1"/>
  <c r="AG713" i="1"/>
  <c r="AH713" i="1"/>
  <c r="H714" i="1"/>
  <c r="I714" i="1"/>
  <c r="J714" i="1"/>
  <c r="K789" i="1"/>
  <c r="K714" i="1"/>
  <c r="L714" i="1"/>
  <c r="M714" i="1"/>
  <c r="N714" i="1"/>
  <c r="O789" i="1"/>
  <c r="O714" i="1"/>
  <c r="P714" i="1"/>
  <c r="Q714" i="1"/>
  <c r="R714" i="1"/>
  <c r="S789" i="1"/>
  <c r="S714" i="1" s="1"/>
  <c r="T714" i="1"/>
  <c r="U714" i="1"/>
  <c r="V714" i="1"/>
  <c r="W789" i="1"/>
  <c r="W714" i="1"/>
  <c r="X714" i="1"/>
  <c r="Y714" i="1"/>
  <c r="Z714" i="1"/>
  <c r="AA789" i="1"/>
  <c r="AA714" i="1" s="1"/>
  <c r="AB714" i="1"/>
  <c r="AC714" i="1"/>
  <c r="AD714" i="1"/>
  <c r="AE789" i="1"/>
  <c r="AE714" i="1"/>
  <c r="AF714" i="1"/>
  <c r="AG714" i="1"/>
  <c r="AH714" i="1"/>
  <c r="AV714" i="1"/>
  <c r="AQ790" i="1"/>
  <c r="AQ793" i="1" s="1"/>
  <c r="K793" i="1" s="1"/>
  <c r="K718" i="1" s="1"/>
  <c r="K790" i="1"/>
  <c r="K715" i="1" s="1"/>
  <c r="AR790" i="1"/>
  <c r="O790" i="1"/>
  <c r="O715" i="1" s="1"/>
  <c r="AS790" i="1"/>
  <c r="S790" i="1"/>
  <c r="S715" i="1" s="1"/>
  <c r="AT790" i="1"/>
  <c r="W790" i="1"/>
  <c r="W715" i="1"/>
  <c r="AU790" i="1"/>
  <c r="AA790" i="1"/>
  <c r="AA715" i="1" s="1"/>
  <c r="AE790" i="1"/>
  <c r="AE715" i="1" s="1"/>
  <c r="AF715" i="1"/>
  <c r="AG715" i="1"/>
  <c r="AH715" i="1"/>
  <c r="AO715" i="1"/>
  <c r="AP715" i="1"/>
  <c r="H717" i="1"/>
  <c r="I717" i="1"/>
  <c r="J717" i="1"/>
  <c r="K792" i="1"/>
  <c r="K717" i="1"/>
  <c r="L717" i="1"/>
  <c r="M717" i="1"/>
  <c r="N717" i="1"/>
  <c r="O792" i="1"/>
  <c r="O717" i="1"/>
  <c r="P717" i="1"/>
  <c r="Q717" i="1"/>
  <c r="R717" i="1"/>
  <c r="S792" i="1"/>
  <c r="S717" i="1"/>
  <c r="T717" i="1"/>
  <c r="U717" i="1"/>
  <c r="V717" i="1"/>
  <c r="W792" i="1"/>
  <c r="W717" i="1" s="1"/>
  <c r="X717" i="1"/>
  <c r="Y717" i="1"/>
  <c r="Z717" i="1"/>
  <c r="AA792" i="1"/>
  <c r="AA717" i="1" s="1"/>
  <c r="AB717" i="1"/>
  <c r="AC717" i="1"/>
  <c r="AD717" i="1"/>
  <c r="AE792" i="1"/>
  <c r="AE717" i="1" s="1"/>
  <c r="AF717" i="1"/>
  <c r="AG717" i="1"/>
  <c r="AH717" i="1"/>
  <c r="AV717" i="1"/>
  <c r="H793" i="1"/>
  <c r="H718" i="1" s="1"/>
  <c r="I793" i="1"/>
  <c r="I718" i="1"/>
  <c r="J793" i="1"/>
  <c r="J718" i="1"/>
  <c r="L793" i="1"/>
  <c r="M718" i="1" s="1"/>
  <c r="M793" i="1"/>
  <c r="N793" i="1"/>
  <c r="N718" i="1" s="1"/>
  <c r="AR793" i="1"/>
  <c r="O793" i="1" s="1"/>
  <c r="O718" i="1" s="1"/>
  <c r="P793" i="1"/>
  <c r="P718" i="1"/>
  <c r="Q793" i="1"/>
  <c r="Q718" i="1"/>
  <c r="R793" i="1"/>
  <c r="R718" i="1"/>
  <c r="AS793" i="1"/>
  <c r="S793" i="1"/>
  <c r="S718" i="1" s="1"/>
  <c r="T793" i="1"/>
  <c r="T718" i="1"/>
  <c r="U793" i="1"/>
  <c r="U718" i="1" s="1"/>
  <c r="V793" i="1"/>
  <c r="V718" i="1" s="1"/>
  <c r="AT793" i="1"/>
  <c r="W793" i="1"/>
  <c r="W718" i="1"/>
  <c r="X793" i="1"/>
  <c r="X718" i="1"/>
  <c r="Y793" i="1"/>
  <c r="Y718" i="1"/>
  <c r="Z793" i="1"/>
  <c r="Z718" i="1"/>
  <c r="AU793" i="1"/>
  <c r="AA793" i="1" s="1"/>
  <c r="AA718" i="1" s="1"/>
  <c r="AB793" i="1"/>
  <c r="AB718" i="1" s="1"/>
  <c r="AC793" i="1"/>
  <c r="AC718" i="1" s="1"/>
  <c r="AD793" i="1"/>
  <c r="AV793" i="1"/>
  <c r="AE793" i="1" s="1"/>
  <c r="AE718" i="1" s="1"/>
  <c r="AF793" i="1"/>
  <c r="AF718" i="1"/>
  <c r="AG793" i="1"/>
  <c r="AG718" i="1"/>
  <c r="AH793" i="1"/>
  <c r="AH718" i="1" s="1"/>
  <c r="AO718" i="1"/>
  <c r="AT718" i="1"/>
  <c r="AU718" i="1"/>
  <c r="AV718" i="1"/>
  <c r="AO754" i="1"/>
  <c r="AP754" i="1"/>
  <c r="AO771" i="1"/>
  <c r="AP771" i="1"/>
  <c r="AO790" i="1"/>
  <c r="AP790" i="1"/>
  <c r="AO793" i="1"/>
  <c r="H805" i="1"/>
  <c r="H817" i="1" s="1"/>
  <c r="I805" i="1"/>
  <c r="J805" i="1"/>
  <c r="K805" i="1"/>
  <c r="L805" i="1"/>
  <c r="M805" i="1"/>
  <c r="N805" i="1"/>
  <c r="N817" i="1" s="1"/>
  <c r="O805" i="1"/>
  <c r="P805" i="1"/>
  <c r="Q805" i="1"/>
  <c r="Q817" i="1" s="1"/>
  <c r="R805" i="1"/>
  <c r="S805" i="1"/>
  <c r="T805" i="1"/>
  <c r="T817" i="1" s="1"/>
  <c r="U805" i="1"/>
  <c r="U817" i="1" s="1"/>
  <c r="V805" i="1"/>
  <c r="V817" i="1" s="1"/>
  <c r="W805" i="1"/>
  <c r="W817" i="1" s="1"/>
  <c r="X805" i="1"/>
  <c r="X817" i="1" s="1"/>
  <c r="Y805" i="1"/>
  <c r="Z805" i="1"/>
  <c r="AA805" i="1"/>
  <c r="AB805" i="1"/>
  <c r="AC805" i="1"/>
  <c r="AD805" i="1"/>
  <c r="AD817" i="1" s="1"/>
  <c r="AE805" i="1"/>
  <c r="AF805" i="1"/>
  <c r="AG805" i="1"/>
  <c r="AG817" i="1" s="1"/>
  <c r="AH805" i="1"/>
  <c r="AO805" i="1"/>
  <c r="AP805" i="1"/>
  <c r="AP817" i="1" s="1"/>
  <c r="AQ805" i="1"/>
  <c r="AQ817" i="1" s="1"/>
  <c r="AR805" i="1"/>
  <c r="AR817" i="1" s="1"/>
  <c r="AS805" i="1"/>
  <c r="AS817" i="1" s="1"/>
  <c r="AT805" i="1"/>
  <c r="AT817" i="1" s="1"/>
  <c r="AU805" i="1"/>
  <c r="AV805" i="1"/>
  <c r="H815" i="1"/>
  <c r="I815" i="1"/>
  <c r="J815" i="1"/>
  <c r="K815" i="1"/>
  <c r="L815" i="1"/>
  <c r="L817" i="1" s="1"/>
  <c r="M815" i="1"/>
  <c r="N815" i="1"/>
  <c r="O815" i="1"/>
  <c r="P815" i="1"/>
  <c r="Q815" i="1"/>
  <c r="R815" i="1"/>
  <c r="R817" i="1" s="1"/>
  <c r="S815" i="1"/>
  <c r="T815" i="1"/>
  <c r="U815" i="1"/>
  <c r="V815" i="1"/>
  <c r="W815" i="1"/>
  <c r="X815" i="1"/>
  <c r="Y815" i="1"/>
  <c r="Z815" i="1"/>
  <c r="AA815" i="1"/>
  <c r="AB815" i="1"/>
  <c r="AB817" i="1" s="1"/>
  <c r="AC815" i="1"/>
  <c r="AD815" i="1"/>
  <c r="AE815" i="1"/>
  <c r="AF815" i="1"/>
  <c r="AG815" i="1"/>
  <c r="AH815" i="1"/>
  <c r="AH817" i="1" s="1"/>
  <c r="AO815" i="1"/>
  <c r="AP815" i="1"/>
  <c r="AQ815" i="1"/>
  <c r="AR815" i="1"/>
  <c r="AS815" i="1"/>
  <c r="AT815" i="1"/>
  <c r="AU815" i="1"/>
  <c r="AV815" i="1"/>
  <c r="I817" i="1"/>
  <c r="J817" i="1"/>
  <c r="K817" i="1"/>
  <c r="M817" i="1"/>
  <c r="O817" i="1"/>
  <c r="P817" i="1"/>
  <c r="Y817" i="1"/>
  <c r="Z817" i="1"/>
  <c r="AA817" i="1"/>
  <c r="AC817" i="1"/>
  <c r="AE817" i="1"/>
  <c r="AF817" i="1"/>
  <c r="AU817" i="1"/>
  <c r="AV817" i="1"/>
  <c r="H831" i="1"/>
  <c r="H841" i="1" s="1"/>
  <c r="H851" i="1" s="1"/>
  <c r="I831" i="1"/>
  <c r="J831" i="1"/>
  <c r="J841" i="1" s="1"/>
  <c r="J851" i="1" s="1"/>
  <c r="K831" i="1"/>
  <c r="K841" i="1" s="1"/>
  <c r="K851" i="1" s="1"/>
  <c r="L831" i="1"/>
  <c r="L841" i="1" s="1"/>
  <c r="L851" i="1" s="1"/>
  <c r="M831" i="1"/>
  <c r="M841" i="1" s="1"/>
  <c r="M851" i="1" s="1"/>
  <c r="N831" i="1"/>
  <c r="N841" i="1" s="1"/>
  <c r="N851" i="1" s="1"/>
  <c r="O831" i="1"/>
  <c r="O841" i="1" s="1"/>
  <c r="O851" i="1" s="1"/>
  <c r="P831" i="1"/>
  <c r="Q831" i="1"/>
  <c r="R831" i="1"/>
  <c r="S831" i="1"/>
  <c r="T831" i="1"/>
  <c r="U831" i="1"/>
  <c r="U841" i="1" s="1"/>
  <c r="U851" i="1" s="1"/>
  <c r="V831" i="1"/>
  <c r="W831" i="1"/>
  <c r="X831" i="1"/>
  <c r="X841" i="1" s="1"/>
  <c r="X851" i="1" s="1"/>
  <c r="Y831" i="1"/>
  <c r="Z831" i="1"/>
  <c r="Z841" i="1" s="1"/>
  <c r="Z851" i="1" s="1"/>
  <c r="AA831" i="1"/>
  <c r="AA841" i="1" s="1"/>
  <c r="AA851" i="1" s="1"/>
  <c r="AB831" i="1"/>
  <c r="AB841" i="1" s="1"/>
  <c r="AB851" i="1" s="1"/>
  <c r="AC831" i="1"/>
  <c r="AC841" i="1" s="1"/>
  <c r="AC851" i="1" s="1"/>
  <c r="AD831" i="1"/>
  <c r="AD841" i="1" s="1"/>
  <c r="AD851" i="1" s="1"/>
  <c r="AE831" i="1"/>
  <c r="AE841" i="1" s="1"/>
  <c r="AE851" i="1" s="1"/>
  <c r="AF831" i="1"/>
  <c r="AG831" i="1"/>
  <c r="AH831" i="1"/>
  <c r="AO831" i="1"/>
  <c r="AP831" i="1"/>
  <c r="AQ831" i="1"/>
  <c r="AQ841" i="1" s="1"/>
  <c r="AQ851" i="1" s="1"/>
  <c r="AR831" i="1"/>
  <c r="AS831" i="1"/>
  <c r="AT831" i="1"/>
  <c r="AT841" i="1" s="1"/>
  <c r="AT851" i="1" s="1"/>
  <c r="AU831" i="1"/>
  <c r="AV831" i="1"/>
  <c r="AV841" i="1" s="1"/>
  <c r="AV851" i="1" s="1"/>
  <c r="H839" i="1"/>
  <c r="I839" i="1"/>
  <c r="I841" i="1" s="1"/>
  <c r="I851" i="1" s="1"/>
  <c r="J839" i="1"/>
  <c r="K839" i="1"/>
  <c r="L839" i="1"/>
  <c r="M839" i="1"/>
  <c r="N839" i="1"/>
  <c r="O839" i="1"/>
  <c r="P839" i="1"/>
  <c r="Q839" i="1"/>
  <c r="R839" i="1"/>
  <c r="S839" i="1"/>
  <c r="S841" i="1" s="1"/>
  <c r="T839" i="1"/>
  <c r="U839" i="1"/>
  <c r="V839" i="1"/>
  <c r="W839" i="1"/>
  <c r="X839" i="1"/>
  <c r="Y839" i="1"/>
  <c r="Y841" i="1" s="1"/>
  <c r="Y851" i="1" s="1"/>
  <c r="Z839" i="1"/>
  <c r="AA839" i="1"/>
  <c r="AB839" i="1"/>
  <c r="AC839" i="1"/>
  <c r="AD839" i="1"/>
  <c r="AE839" i="1"/>
  <c r="AF839" i="1"/>
  <c r="AG839" i="1"/>
  <c r="AH839" i="1"/>
  <c r="AO839" i="1"/>
  <c r="AO841" i="1" s="1"/>
  <c r="AP839" i="1"/>
  <c r="AQ839" i="1"/>
  <c r="AR839" i="1"/>
  <c r="AS839" i="1"/>
  <c r="AT839" i="1"/>
  <c r="AU839" i="1"/>
  <c r="AU841" i="1" s="1"/>
  <c r="AU851" i="1" s="1"/>
  <c r="AV839" i="1"/>
  <c r="P841" i="1"/>
  <c r="Q841" i="1"/>
  <c r="R841" i="1"/>
  <c r="R851" i="1" s="1"/>
  <c r="T841" i="1"/>
  <c r="V841" i="1"/>
  <c r="V851" i="1" s="1"/>
  <c r="W841" i="1"/>
  <c r="W851" i="1" s="1"/>
  <c r="AF841" i="1"/>
  <c r="AG841" i="1"/>
  <c r="AH841" i="1"/>
  <c r="AH851" i="1" s="1"/>
  <c r="AP841" i="1"/>
  <c r="AP851" i="1" s="1"/>
  <c r="AR841" i="1"/>
  <c r="AR851" i="1" s="1"/>
  <c r="AS841" i="1"/>
  <c r="AS851" i="1" s="1"/>
  <c r="H849" i="1"/>
  <c r="I849" i="1"/>
  <c r="J849" i="1"/>
  <c r="K849" i="1"/>
  <c r="L849" i="1"/>
  <c r="M849" i="1"/>
  <c r="N849" i="1"/>
  <c r="O849" i="1"/>
  <c r="P849" i="1"/>
  <c r="Q849" i="1"/>
  <c r="R849" i="1"/>
  <c r="S849" i="1"/>
  <c r="T849" i="1"/>
  <c r="U849" i="1"/>
  <c r="V849" i="1"/>
  <c r="W849" i="1"/>
  <c r="X849" i="1"/>
  <c r="Y849" i="1"/>
  <c r="Z849" i="1"/>
  <c r="AA849" i="1"/>
  <c r="AB849" i="1"/>
  <c r="AC849" i="1"/>
  <c r="AD849" i="1"/>
  <c r="AE849" i="1"/>
  <c r="AF849" i="1"/>
  <c r="AG849" i="1"/>
  <c r="AH849" i="1"/>
  <c r="AO849" i="1"/>
  <c r="AP849" i="1"/>
  <c r="AQ849" i="1"/>
  <c r="AR849" i="1"/>
  <c r="AS849" i="1"/>
  <c r="AT849" i="1"/>
  <c r="AU849" i="1"/>
  <c r="AV849" i="1"/>
  <c r="P851" i="1"/>
  <c r="Q851" i="1"/>
  <c r="AF851" i="1"/>
  <c r="AG851" i="1"/>
  <c r="U2" i="7"/>
  <c r="I7" i="7"/>
  <c r="J8" i="7"/>
  <c r="K8" i="7"/>
  <c r="L8" i="7" s="1"/>
  <c r="M8" i="7" s="1"/>
  <c r="N8" i="7" s="1"/>
  <c r="O8" i="7" s="1"/>
  <c r="P8" i="7" s="1"/>
  <c r="Q8" i="7" s="1"/>
  <c r="R8" i="7" s="1"/>
  <c r="S8" i="7" s="1"/>
  <c r="T8" i="7" s="1"/>
  <c r="U8" i="7" s="1"/>
  <c r="E9" i="7"/>
  <c r="F9" i="7"/>
  <c r="G9" i="7"/>
  <c r="H9" i="7"/>
  <c r="I9" i="7"/>
  <c r="E11" i="7"/>
  <c r="D11" i="7" s="1"/>
  <c r="D13" i="7" s="1"/>
  <c r="J11" i="7"/>
  <c r="K11" i="7"/>
  <c r="G12" i="7"/>
  <c r="H12" i="7"/>
  <c r="I12" i="7"/>
  <c r="E13" i="7"/>
  <c r="F13" i="7"/>
  <c r="G13" i="7"/>
  <c r="H13" i="7"/>
  <c r="I13" i="7"/>
  <c r="G15" i="7"/>
  <c r="F15" i="7" s="1"/>
  <c r="J16" i="7"/>
  <c r="J15" i="7"/>
  <c r="K15" i="7" s="1"/>
  <c r="K16" i="7"/>
  <c r="L16" i="7"/>
  <c r="M16" i="7"/>
  <c r="N16" i="7"/>
  <c r="O16" i="7"/>
  <c r="P16" i="7"/>
  <c r="Q16" i="7"/>
  <c r="R16" i="7"/>
  <c r="S16" i="7"/>
  <c r="T16" i="7"/>
  <c r="U16" i="7"/>
  <c r="G17" i="7"/>
  <c r="H17" i="7"/>
  <c r="I17" i="7"/>
  <c r="E19" i="7"/>
  <c r="G19" i="7"/>
  <c r="G21" i="7"/>
  <c r="H23" i="7"/>
  <c r="I46" i="7"/>
  <c r="H50" i="7"/>
  <c r="D51" i="7"/>
  <c r="G8" i="2"/>
  <c r="D15" i="2"/>
  <c r="D46" i="7" s="1"/>
  <c r="D12" i="2"/>
  <c r="D36" i="7" s="1"/>
  <c r="D27" i="7" s="1"/>
  <c r="E15" i="2"/>
  <c r="E46" i="7" s="1"/>
  <c r="E12" i="2"/>
  <c r="E36" i="7" s="1"/>
  <c r="E27" i="7" s="1"/>
  <c r="F15" i="2"/>
  <c r="F12" i="2"/>
  <c r="F36" i="7" s="1"/>
  <c r="F27" i="7" s="1"/>
  <c r="G15" i="2"/>
  <c r="G12" i="2"/>
  <c r="G36" i="7" s="1"/>
  <c r="G27" i="7" s="1"/>
  <c r="H15" i="2"/>
  <c r="I25" i="2" s="1"/>
  <c r="I16" i="2" s="1"/>
  <c r="I17" i="2" s="1"/>
  <c r="H12" i="2"/>
  <c r="I15" i="2"/>
  <c r="I12" i="2"/>
  <c r="I36" i="7" s="1"/>
  <c r="I27" i="7" s="1"/>
  <c r="E25" i="2"/>
  <c r="E16" i="2" s="1"/>
  <c r="E17" i="2" s="1"/>
  <c r="E22" i="2"/>
  <c r="H22" i="2"/>
  <c r="K32" i="2"/>
  <c r="G32" i="2"/>
  <c r="G50" i="2"/>
  <c r="H50" i="2"/>
  <c r="I50" i="2"/>
  <c r="J50" i="2"/>
  <c r="K50" i="2"/>
  <c r="E81" i="2"/>
  <c r="E58" i="2"/>
  <c r="F81" i="2"/>
  <c r="F58" i="2" s="1"/>
  <c r="G81" i="2"/>
  <c r="G58" i="2" s="1"/>
  <c r="H81" i="2"/>
  <c r="H58" i="2"/>
  <c r="I81" i="2"/>
  <c r="I58" i="2" s="1"/>
  <c r="J81" i="2"/>
  <c r="J58" i="2"/>
  <c r="K81" i="2"/>
  <c r="K58" i="2" s="1"/>
  <c r="E64" i="2"/>
  <c r="F64" i="2"/>
  <c r="G64" i="2"/>
  <c r="H64" i="2"/>
  <c r="H65" i="2" s="1"/>
  <c r="I64" i="2"/>
  <c r="I65" i="2" s="1"/>
  <c r="J64" i="2"/>
  <c r="K64" i="2"/>
  <c r="E65" i="2"/>
  <c r="E72" i="2"/>
  <c r="F72" i="2"/>
  <c r="G72" i="2"/>
  <c r="H72" i="2"/>
  <c r="I72" i="2"/>
  <c r="J72" i="2"/>
  <c r="L96" i="2"/>
  <c r="M96" i="2" s="1"/>
  <c r="L94" i="2"/>
  <c r="M94" i="2" s="1"/>
  <c r="N94" i="2" s="1"/>
  <c r="O94" i="2" s="1"/>
  <c r="P94" i="2" s="1"/>
  <c r="Q94" i="2" s="1"/>
  <c r="R94" i="2" s="1"/>
  <c r="S94" i="2" s="1"/>
  <c r="T94" i="2" s="1"/>
  <c r="U94" i="2" s="1"/>
  <c r="E75" i="2"/>
  <c r="F75" i="2"/>
  <c r="G75" i="2"/>
  <c r="H75" i="2"/>
  <c r="I75" i="2"/>
  <c r="J75" i="2"/>
  <c r="K75" i="2"/>
  <c r="F78" i="2"/>
  <c r="G78" i="2" s="1"/>
  <c r="H78" i="2" s="1"/>
  <c r="I78" i="2" s="1"/>
  <c r="J78" i="2" s="1"/>
  <c r="K78" i="2" s="1"/>
  <c r="L78" i="2" s="1"/>
  <c r="M78" i="2" s="1"/>
  <c r="N78" i="2" s="1"/>
  <c r="O78" i="2" s="1"/>
  <c r="P78" i="2" s="1"/>
  <c r="Q78" i="2" s="1"/>
  <c r="R78" i="2" s="1"/>
  <c r="S78" i="2" s="1"/>
  <c r="T78" i="2" s="1"/>
  <c r="U78" i="2" s="1"/>
  <c r="E82" i="2"/>
  <c r="F82" i="2"/>
  <c r="H82" i="2"/>
  <c r="E84" i="2"/>
  <c r="F84" i="2"/>
  <c r="G84" i="2"/>
  <c r="H84" i="2"/>
  <c r="I84" i="2"/>
  <c r="J84" i="2"/>
  <c r="K84" i="2"/>
  <c r="G89" i="2"/>
  <c r="H89" i="2"/>
  <c r="I89" i="2"/>
  <c r="J89" i="2"/>
  <c r="E91" i="2"/>
  <c r="F91" i="2"/>
  <c r="G91" i="2"/>
  <c r="H91" i="2"/>
  <c r="I91" i="2"/>
  <c r="K90" i="2"/>
  <c r="E93" i="2"/>
  <c r="F93" i="2"/>
  <c r="F95" i="2" s="1"/>
  <c r="G93" i="2"/>
  <c r="G95" i="2" s="1"/>
  <c r="H93" i="2"/>
  <c r="H95" i="2" s="1"/>
  <c r="I93" i="2"/>
  <c r="E94" i="2"/>
  <c r="F94" i="2"/>
  <c r="G94" i="2"/>
  <c r="H94" i="2"/>
  <c r="I94" i="2"/>
  <c r="E95" i="2"/>
  <c r="I95" i="2"/>
  <c r="F124" i="2"/>
  <c r="F128" i="2"/>
  <c r="E122" i="2" s="1"/>
  <c r="E549" i="1" a="1"/>
  <c r="U549" i="1" a="1"/>
  <c r="F549" i="1" a="1"/>
  <c r="V549" i="1" a="1"/>
  <c r="G549" i="1" a="1"/>
  <c r="W549" i="1" a="1"/>
  <c r="H549" i="1" a="1"/>
  <c r="X549" i="1" a="1"/>
  <c r="AP549" i="1" a="1"/>
  <c r="I549" i="1" a="1"/>
  <c r="Y549" i="1" a="1"/>
  <c r="AQ549" i="1" a="1"/>
  <c r="J549" i="1" a="1"/>
  <c r="Z549" i="1" a="1"/>
  <c r="AR549" i="1" a="1"/>
  <c r="K549" i="1" a="1"/>
  <c r="AA549" i="1" a="1"/>
  <c r="AS549" i="1" a="1"/>
  <c r="L549" i="1" a="1"/>
  <c r="AB549" i="1" a="1"/>
  <c r="AT549" i="1" a="1"/>
  <c r="M549" i="1" a="1"/>
  <c r="AC549" i="1" a="1"/>
  <c r="AU549" i="1" a="1"/>
  <c r="N549" i="1" a="1"/>
  <c r="AD549" i="1" a="1"/>
  <c r="AV549" i="1" a="1"/>
  <c r="O549" i="1" a="1"/>
  <c r="AE549" i="1" a="1"/>
  <c r="P549" i="1" a="1"/>
  <c r="AF549" i="1" a="1"/>
  <c r="Q549" i="1" a="1"/>
  <c r="AG549" i="1" a="1"/>
  <c r="S549" i="1" a="1"/>
  <c r="AI549" i="1" a="1"/>
  <c r="R549" i="1" a="1"/>
  <c r="AH549" i="1" a="1"/>
  <c r="T549" i="1" a="1"/>
  <c r="H25" i="2" l="1"/>
  <c r="H16" i="2" s="1"/>
  <c r="H17" i="2" s="1"/>
  <c r="E124" i="2"/>
  <c r="E123" i="2" s="1"/>
  <c r="I82" i="2"/>
  <c r="T549" i="1"/>
  <c r="AH549" i="1"/>
  <c r="R549" i="1"/>
  <c r="AI549" i="1"/>
  <c r="S549" i="1"/>
  <c r="AG549" i="1"/>
  <c r="Q549" i="1"/>
  <c r="AF549" i="1"/>
  <c r="P549" i="1"/>
  <c r="AE549" i="1"/>
  <c r="O549" i="1"/>
  <c r="AV549" i="1"/>
  <c r="AV550" i="1" s="1"/>
  <c r="AD549" i="1"/>
  <c r="N549" i="1"/>
  <c r="AU549" i="1"/>
  <c r="AU550" i="1" s="1"/>
  <c r="AC549" i="1"/>
  <c r="M549" i="1"/>
  <c r="AT549" i="1"/>
  <c r="AT550" i="1" s="1"/>
  <c r="AB549" i="1"/>
  <c r="L549" i="1"/>
  <c r="AS549" i="1"/>
  <c r="AS550" i="1" s="1"/>
  <c r="AA549" i="1"/>
  <c r="K549" i="1"/>
  <c r="AR549" i="1"/>
  <c r="Z549" i="1"/>
  <c r="J549" i="1"/>
  <c r="AQ549" i="1"/>
  <c r="Y549" i="1"/>
  <c r="I549" i="1"/>
  <c r="AP549" i="1"/>
  <c r="AP550" i="1" s="1"/>
  <c r="X549" i="1"/>
  <c r="H549" i="1"/>
  <c r="W549" i="1"/>
  <c r="G549" i="1"/>
  <c r="V549" i="1"/>
  <c r="F549" i="1"/>
  <c r="U549" i="1"/>
  <c r="E549" i="1"/>
  <c r="G82" i="2"/>
  <c r="L718" i="1"/>
  <c r="AG215" i="1"/>
  <c r="AH215" i="1"/>
  <c r="AG202" i="1"/>
  <c r="AG208" i="1"/>
  <c r="AV514" i="1"/>
  <c r="G22" i="2"/>
  <c r="T851" i="1"/>
  <c r="AA534" i="1"/>
  <c r="F22" i="2"/>
  <c r="F46" i="7"/>
  <c r="F25" i="2"/>
  <c r="F16" i="2" s="1"/>
  <c r="F17" i="2" s="1"/>
  <c r="I47" i="7"/>
  <c r="AA644" i="1"/>
  <c r="N644" i="1"/>
  <c r="AO817" i="1"/>
  <c r="S817" i="1"/>
  <c r="K13" i="7"/>
  <c r="L11" i="7"/>
  <c r="AP793" i="1"/>
  <c r="J13" i="7"/>
  <c r="J17" i="7"/>
  <c r="K637" i="1"/>
  <c r="O644" i="1" s="1"/>
  <c r="AQ644" i="1"/>
  <c r="AR644" i="1"/>
  <c r="X530" i="1"/>
  <c r="X537" i="1"/>
  <c r="P537" i="1"/>
  <c r="P530" i="1"/>
  <c r="T530" i="1"/>
  <c r="E21" i="7"/>
  <c r="E8" i="2"/>
  <c r="K17" i="7"/>
  <c r="L15" i="7"/>
  <c r="AF613" i="1"/>
  <c r="I104" i="2"/>
  <c r="N96" i="2"/>
  <c r="F65" i="2"/>
  <c r="H36" i="7"/>
  <c r="H27" i="7" s="1"/>
  <c r="H28" i="7" s="1"/>
  <c r="I22" i="2"/>
  <c r="E47" i="7"/>
  <c r="F17" i="7"/>
  <c r="E15" i="7"/>
  <c r="H46" i="7"/>
  <c r="G65" i="2"/>
  <c r="G25" i="2"/>
  <c r="G16" i="2" s="1"/>
  <c r="G17" i="2" s="1"/>
  <c r="G46" i="7"/>
  <c r="AO851" i="1"/>
  <c r="S851" i="1"/>
  <c r="AE533" i="1"/>
  <c r="AE514" i="1"/>
  <c r="T453" i="1"/>
  <c r="X453" i="1"/>
  <c r="T458" i="1"/>
  <c r="AR455" i="1"/>
  <c r="M410" i="1"/>
  <c r="AP535" i="1"/>
  <c r="AQ528" i="1"/>
  <c r="AF537" i="1"/>
  <c r="AF530" i="1"/>
  <c r="AF521" i="1"/>
  <c r="R535" i="1"/>
  <c r="R520" i="1"/>
  <c r="AE515" i="1"/>
  <c r="AE522" i="1"/>
  <c r="Q12" i="216"/>
  <c r="N12" i="216"/>
  <c r="R12" i="216"/>
  <c r="S12" i="216"/>
  <c r="T12" i="216"/>
  <c r="U12" i="216"/>
  <c r="V12" i="216"/>
  <c r="W12" i="216"/>
  <c r="H12" i="216"/>
  <c r="X12" i="216"/>
  <c r="I12" i="216"/>
  <c r="Y12" i="216"/>
  <c r="J12" i="216"/>
  <c r="Z12" i="216"/>
  <c r="K12" i="216"/>
  <c r="AA12" i="216"/>
  <c r="L12" i="216"/>
  <c r="M12" i="216"/>
  <c r="O12" i="216"/>
  <c r="P12" i="216"/>
  <c r="I520" i="1"/>
  <c r="I534" i="1" s="1"/>
  <c r="M528" i="1"/>
  <c r="I535" i="1"/>
  <c r="AT522" i="1"/>
  <c r="AT509" i="1"/>
  <c r="AT514" i="1" s="1"/>
  <c r="AT515" i="1"/>
  <c r="Q533" i="1"/>
  <c r="U514" i="1"/>
  <c r="M613" i="1"/>
  <c r="H520" i="1"/>
  <c r="H534" i="1" s="1"/>
  <c r="H535" i="1"/>
  <c r="P515" i="1"/>
  <c r="P509" i="1"/>
  <c r="T514" i="1" s="1"/>
  <c r="P522" i="1"/>
  <c r="P521" i="1" s="1"/>
  <c r="U17" i="216"/>
  <c r="V17" i="216"/>
  <c r="W17" i="216"/>
  <c r="R17" i="216"/>
  <c r="H17" i="216"/>
  <c r="X17" i="216"/>
  <c r="I17" i="216"/>
  <c r="Y17" i="216"/>
  <c r="J17" i="216"/>
  <c r="Z17" i="216"/>
  <c r="K17" i="216"/>
  <c r="AA17" i="216"/>
  <c r="L17" i="216"/>
  <c r="M17" i="216"/>
  <c r="N17" i="216"/>
  <c r="O17" i="216"/>
  <c r="P17" i="216"/>
  <c r="Q17" i="216"/>
  <c r="S17" i="216"/>
  <c r="T17" i="216"/>
  <c r="L613" i="1"/>
  <c r="AC534" i="1"/>
  <c r="AH537" i="1"/>
  <c r="AH516" i="1"/>
  <c r="R537" i="1"/>
  <c r="R516" i="1"/>
  <c r="AS515" i="1"/>
  <c r="AS522" i="1"/>
  <c r="AA533" i="1"/>
  <c r="AA514" i="1"/>
  <c r="O533" i="1"/>
  <c r="O514" i="1"/>
  <c r="AC505" i="1"/>
  <c r="AG505" i="1"/>
  <c r="Y356" i="1"/>
  <c r="AC356" i="1"/>
  <c r="Z361" i="1"/>
  <c r="K613" i="1"/>
  <c r="AU534" i="1"/>
  <c r="AU533" i="1"/>
  <c r="AG537" i="1"/>
  <c r="AG516" i="1"/>
  <c r="Q537" i="1"/>
  <c r="Q516" i="1"/>
  <c r="O515" i="1"/>
  <c r="O522" i="1"/>
  <c r="AB505" i="1"/>
  <c r="AF505" i="1"/>
  <c r="Z478" i="1"/>
  <c r="AD478" i="1"/>
  <c r="AT470" i="1"/>
  <c r="X471" i="1"/>
  <c r="T468" i="1"/>
  <c r="AT468" i="1" s="1"/>
  <c r="T471" i="1"/>
  <c r="Y357" i="1"/>
  <c r="V362" i="1"/>
  <c r="U357" i="1"/>
  <c r="AC613" i="1"/>
  <c r="AT534" i="1"/>
  <c r="M527" i="1"/>
  <c r="M534" i="1"/>
  <c r="AT533" i="1"/>
  <c r="X526" i="1"/>
  <c r="AB526" i="1"/>
  <c r="AB613" i="1"/>
  <c r="AS534" i="1"/>
  <c r="AB529" i="1"/>
  <c r="AS533" i="1"/>
  <c r="W533" i="1"/>
  <c r="W526" i="1"/>
  <c r="AA526" i="1"/>
  <c r="AD718" i="1"/>
  <c r="AE643" i="1"/>
  <c r="AA613" i="1"/>
  <c r="AS521" i="1"/>
  <c r="AR534" i="1"/>
  <c r="AB537" i="1"/>
  <c r="AB530" i="1"/>
  <c r="AB521" i="1"/>
  <c r="X515" i="1"/>
  <c r="X509" i="1"/>
  <c r="X514" i="1" s="1"/>
  <c r="X522" i="1"/>
  <c r="R488" i="1"/>
  <c r="AC471" i="1"/>
  <c r="AG471" i="1"/>
  <c r="T533" i="1"/>
  <c r="AR521" i="1"/>
  <c r="T537" i="1"/>
  <c r="T521" i="1"/>
  <c r="S514" i="1"/>
  <c r="Q488" i="1"/>
  <c r="AS478" i="1"/>
  <c r="S533" i="1"/>
  <c r="AA535" i="1"/>
  <c r="L537" i="1"/>
  <c r="L530" i="1"/>
  <c r="L521" i="1"/>
  <c r="AA515" i="1"/>
  <c r="W522" i="1"/>
  <c r="W515" i="1"/>
  <c r="AS483" i="1"/>
  <c r="AP528" i="1"/>
  <c r="AA529" i="1"/>
  <c r="S535" i="1"/>
  <c r="Q514" i="1"/>
  <c r="AQ477" i="1"/>
  <c r="AR478" i="1" s="1"/>
  <c r="K535" i="1"/>
  <c r="V516" i="1"/>
  <c r="AH535" i="1"/>
  <c r="AH520" i="1"/>
  <c r="U516" i="1"/>
  <c r="AF515" i="1"/>
  <c r="AF509" i="1"/>
  <c r="AF522" i="1"/>
  <c r="P453" i="1"/>
  <c r="L458" i="1"/>
  <c r="AR448" i="1"/>
  <c r="L453" i="1"/>
  <c r="R475" i="1"/>
  <c r="AS475" i="1" s="1"/>
  <c r="K468" i="1"/>
  <c r="AQ468" i="1" s="1"/>
  <c r="M458" i="1"/>
  <c r="AP478" i="1"/>
  <c r="AD468" i="1"/>
  <c r="AV468" i="1" s="1"/>
  <c r="AD471" i="1"/>
  <c r="U453" i="1"/>
  <c r="U458" i="1"/>
  <c r="V361" i="1"/>
  <c r="W361" i="1"/>
  <c r="Z356" i="1"/>
  <c r="V356" i="1"/>
  <c r="AC526" i="1"/>
  <c r="AQ516" i="1"/>
  <c r="AH515" i="1"/>
  <c r="R515" i="1"/>
  <c r="AD509" i="1"/>
  <c r="V509" i="1"/>
  <c r="Z514" i="1" s="1"/>
  <c r="N509" i="1"/>
  <c r="AH505" i="1"/>
  <c r="V478" i="1"/>
  <c r="AV470" i="1"/>
  <c r="AB471" i="1"/>
  <c r="V458" i="1"/>
  <c r="K406" i="1"/>
  <c r="S516" i="1"/>
  <c r="AG515" i="1"/>
  <c r="Q515" i="1"/>
  <c r="AU475" i="1"/>
  <c r="O471" i="1"/>
  <c r="M453" i="1"/>
  <c r="X488" i="1"/>
  <c r="AU477" i="1"/>
  <c r="X478" i="1"/>
  <c r="AO390" i="1"/>
  <c r="AO472" i="1" s="1"/>
  <c r="AO421" i="1"/>
  <c r="R398" i="1"/>
  <c r="V398" i="1"/>
  <c r="Z526" i="1"/>
  <c r="Z521" i="1"/>
  <c r="AC514" i="1"/>
  <c r="M514" i="1"/>
  <c r="AS470" i="1"/>
  <c r="AB454" i="1"/>
  <c r="AF454" i="1"/>
  <c r="R442" i="1"/>
  <c r="J406" i="1"/>
  <c r="AP536" i="1"/>
  <c r="AE530" i="1"/>
  <c r="O530" i="1"/>
  <c r="Y526" i="1"/>
  <c r="AD522" i="1"/>
  <c r="AD521" i="1" s="1"/>
  <c r="V522" i="1"/>
  <c r="N522" i="1"/>
  <c r="AB509" i="1"/>
  <c r="L509" i="1"/>
  <c r="V488" i="1"/>
  <c r="AL478" i="1"/>
  <c r="R478" i="1"/>
  <c r="AR470" i="1"/>
  <c r="Q453" i="1"/>
  <c r="R420" i="1"/>
  <c r="AC515" i="1"/>
  <c r="U488" i="1"/>
  <c r="AH471" i="1"/>
  <c r="AQ470" i="1"/>
  <c r="AU470" i="1"/>
  <c r="H408" i="1"/>
  <c r="AQ410" i="1"/>
  <c r="AX418" i="1"/>
  <c r="U535" i="1"/>
  <c r="AU522" i="1"/>
  <c r="U520" i="1"/>
  <c r="AJ478" i="1"/>
  <c r="P478" i="1"/>
  <c r="L478" i="1"/>
  <c r="N468" i="1"/>
  <c r="N471" i="1"/>
  <c r="AT454" i="1"/>
  <c r="AR483" i="1"/>
  <c r="AT475" i="1"/>
  <c r="AF471" i="1"/>
  <c r="S19" i="216"/>
  <c r="Z454" i="1"/>
  <c r="AD454" i="1"/>
  <c r="AI418" i="1"/>
  <c r="AI396" i="1"/>
  <c r="AI440" i="1"/>
  <c r="AJ440" i="1"/>
  <c r="AI429" i="1"/>
  <c r="AM429" i="1"/>
  <c r="AM396" i="1"/>
  <c r="S407" i="1"/>
  <c r="S396" i="1"/>
  <c r="W396" i="1"/>
  <c r="AA530" i="1"/>
  <c r="AG522" i="1"/>
  <c r="Y522" i="1"/>
  <c r="AC529" i="1" s="1"/>
  <c r="Q522" i="1"/>
  <c r="AQ483" i="1"/>
  <c r="AH478" i="1"/>
  <c r="AT478" i="1"/>
  <c r="AE471" i="1"/>
  <c r="AR454" i="1"/>
  <c r="O458" i="1"/>
  <c r="P458" i="1"/>
  <c r="AU412" i="1"/>
  <c r="X410" i="1"/>
  <c r="AV515" i="1"/>
  <c r="Y515" i="1"/>
  <c r="L468" i="1"/>
  <c r="AR468" i="1" s="1"/>
  <c r="AQ454" i="1"/>
  <c r="N458" i="1"/>
  <c r="N453" i="1"/>
  <c r="AW420" i="1"/>
  <c r="AU515" i="1"/>
  <c r="AV477" i="1"/>
  <c r="AB478" i="1"/>
  <c r="W478" i="1"/>
  <c r="AH454" i="1"/>
  <c r="E37" i="326"/>
  <c r="L410" i="1"/>
  <c r="K37" i="326"/>
  <c r="AV450" i="1"/>
  <c r="V460" i="1"/>
  <c r="AB455" i="1"/>
  <c r="E32" i="326" s="1"/>
  <c r="L455" i="1"/>
  <c r="J37" i="326"/>
  <c r="U460" i="1"/>
  <c r="AT450" i="1"/>
  <c r="AG468" i="1"/>
  <c r="AW468" i="1" s="1"/>
  <c r="Y468" i="1"/>
  <c r="AU468" i="1" s="1"/>
  <c r="Q468" i="1"/>
  <c r="AS468" i="1" s="1"/>
  <c r="T460" i="1"/>
  <c r="R458" i="1"/>
  <c r="V453" i="1"/>
  <c r="AS450" i="1"/>
  <c r="I37" i="326"/>
  <c r="Q398" i="1"/>
  <c r="AH460" i="1"/>
  <c r="X455" i="1"/>
  <c r="H37" i="326"/>
  <c r="AS448" i="1"/>
  <c r="AV409" i="1"/>
  <c r="P398" i="1"/>
  <c r="AG460" i="1"/>
  <c r="AT407" i="1"/>
  <c r="I408" i="1"/>
  <c r="Y471" i="1"/>
  <c r="G37" i="326"/>
  <c r="N309" i="1"/>
  <c r="O309" i="1"/>
  <c r="R304" i="1"/>
  <c r="N304" i="1"/>
  <c r="AE460" i="1"/>
  <c r="O460" i="1"/>
  <c r="F37" i="326"/>
  <c r="AQ412" i="1"/>
  <c r="AQ356" i="1"/>
  <c r="AA398" i="1"/>
  <c r="AK396" i="1"/>
  <c r="AJ357" i="1"/>
  <c r="AF362" i="1"/>
  <c r="R357" i="1"/>
  <c r="N362" i="1"/>
  <c r="M362" i="1"/>
  <c r="AH357" i="1"/>
  <c r="AD362" i="1"/>
  <c r="AF357" i="1"/>
  <c r="AC362" i="1"/>
  <c r="O361" i="1"/>
  <c r="P361" i="1"/>
  <c r="O356" i="1"/>
  <c r="AE357" i="1"/>
  <c r="AE361" i="1"/>
  <c r="AF361" i="1"/>
  <c r="AE356" i="1"/>
  <c r="AF396" i="1"/>
  <c r="O362" i="1"/>
  <c r="AD357" i="1"/>
  <c r="S355" i="1"/>
  <c r="W355" i="1"/>
  <c r="AI355" i="1"/>
  <c r="AM355" i="1"/>
  <c r="R355" i="1"/>
  <c r="R360" i="1"/>
  <c r="AI356" i="1"/>
  <c r="AQ355" i="1"/>
  <c r="AH355" i="1"/>
  <c r="AH360" i="1"/>
  <c r="AL346" i="1"/>
  <c r="AL339" i="1"/>
  <c r="V346" i="1"/>
  <c r="V339" i="1"/>
  <c r="S360" i="1"/>
  <c r="AW356" i="1"/>
  <c r="AA361" i="1"/>
  <c r="AA356" i="1"/>
  <c r="P355" i="1"/>
  <c r="P360" i="1"/>
  <c r="AS356" i="1"/>
  <c r="AF355" i="1"/>
  <c r="AF360" i="1"/>
  <c r="AT302" i="1"/>
  <c r="AD309" i="1"/>
  <c r="AE309" i="1"/>
  <c r="AH304" i="1"/>
  <c r="W293" i="1"/>
  <c r="AM293" i="1"/>
  <c r="AV232" i="1"/>
  <c r="AV299" i="1"/>
  <c r="AV298" i="1"/>
  <c r="AV268" i="1"/>
  <c r="AW177" i="1"/>
  <c r="AW299" i="1"/>
  <c r="AK339" i="1"/>
  <c r="U339" i="1"/>
  <c r="AC304" i="1"/>
  <c r="T293" i="1"/>
  <c r="T286" i="1"/>
  <c r="AT268" i="1"/>
  <c r="AT232" i="1"/>
  <c r="AI362" i="1"/>
  <c r="S362" i="1"/>
  <c r="AG360" i="1"/>
  <c r="Q360" i="1"/>
  <c r="Z286" i="1"/>
  <c r="AJ293" i="1"/>
  <c r="AJ286" i="1"/>
  <c r="AU253" i="1"/>
  <c r="AU267" i="1"/>
  <c r="R362" i="1"/>
  <c r="AA304" i="1"/>
  <c r="L356" i="1"/>
  <c r="X286" i="1"/>
  <c r="AV253" i="1"/>
  <c r="AS253" i="1"/>
  <c r="AD360" i="1"/>
  <c r="N360" i="1"/>
  <c r="AT253" i="1"/>
  <c r="AA211" i="1"/>
  <c r="Q177" i="1"/>
  <c r="M182" i="1"/>
  <c r="N182" i="1"/>
  <c r="AR172" i="1"/>
  <c r="M177" i="1"/>
  <c r="V286" i="1"/>
  <c r="AC361" i="1"/>
  <c r="M361" i="1"/>
  <c r="AB360" i="1"/>
  <c r="L360" i="1"/>
  <c r="M309" i="1"/>
  <c r="AE293" i="1"/>
  <c r="AE286" i="1"/>
  <c r="T211" i="1"/>
  <c r="AP176" i="1"/>
  <c r="AQ176" i="1"/>
  <c r="AP172" i="1"/>
  <c r="L309" i="1"/>
  <c r="AW302" i="1"/>
  <c r="AC309" i="1"/>
  <c r="K309" i="1"/>
  <c r="AB159" i="1"/>
  <c r="AB166" i="1"/>
  <c r="AV152" i="1"/>
  <c r="AC166" i="1"/>
  <c r="AB279" i="1"/>
  <c r="AF159" i="1"/>
  <c r="AU232" i="1"/>
  <c r="U218" i="1"/>
  <c r="AL233" i="1"/>
  <c r="AE240" i="1"/>
  <c r="AK233" i="1"/>
  <c r="AJ233" i="1"/>
  <c r="AS177" i="1"/>
  <c r="N152" i="1"/>
  <c r="N210" i="1"/>
  <c r="R210" i="1"/>
  <c r="N204" i="1"/>
  <c r="AF86" i="1"/>
  <c r="AF622" i="1"/>
  <c r="AF625" i="1" s="1"/>
  <c r="AF87" i="1" s="1"/>
  <c r="AS175" i="1"/>
  <c r="Y159" i="1"/>
  <c r="Y166" i="1"/>
  <c r="Z166" i="1"/>
  <c r="AC159" i="1"/>
  <c r="M210" i="1"/>
  <c r="Q210" i="1"/>
  <c r="M204" i="1"/>
  <c r="AR203" i="1"/>
  <c r="M217" i="1"/>
  <c r="M152" i="1"/>
  <c r="AB211" i="1"/>
  <c r="AV204" i="1"/>
  <c r="AF211" i="1"/>
  <c r="AB218" i="1"/>
  <c r="P144" i="1"/>
  <c r="T137" i="1"/>
  <c r="Q144" i="1"/>
  <c r="P137" i="1"/>
  <c r="AU622" i="1"/>
  <c r="AU625" i="1" s="1"/>
  <c r="AU87" i="1" s="1"/>
  <c r="AU86" i="1"/>
  <c r="AH286" i="1"/>
  <c r="AG233" i="1"/>
  <c r="AF218" i="1"/>
  <c r="U211" i="1"/>
  <c r="T122" i="1"/>
  <c r="P122" i="1"/>
  <c r="P112" i="1"/>
  <c r="Y86" i="1"/>
  <c r="Y622" i="1"/>
  <c r="Y625" i="1" s="1"/>
  <c r="Y87" i="1" s="1"/>
  <c r="AG286" i="1"/>
  <c r="AF233" i="1"/>
  <c r="W225" i="1"/>
  <c r="AA231" i="1"/>
  <c r="AE218" i="1"/>
  <c r="AV210" i="1"/>
  <c r="AD211" i="1"/>
  <c r="AA218" i="1"/>
  <c r="K218" i="1"/>
  <c r="L182" i="1"/>
  <c r="O159" i="1"/>
  <c r="K166" i="1"/>
  <c r="AF144" i="1"/>
  <c r="AG144" i="1"/>
  <c r="AF137" i="1"/>
  <c r="N144" i="1"/>
  <c r="AT86" i="1"/>
  <c r="AT622" i="1"/>
  <c r="AT625" i="1" s="1"/>
  <c r="AT87" i="1" s="1"/>
  <c r="AP622" i="1"/>
  <c r="AP625" i="1" s="1"/>
  <c r="AP87" i="1" s="1"/>
  <c r="AP86" i="1"/>
  <c r="AP113" i="1" s="1"/>
  <c r="AF286" i="1"/>
  <c r="P286" i="1"/>
  <c r="AE233" i="1"/>
  <c r="AA233" i="1"/>
  <c r="V225" i="1"/>
  <c r="Z231" i="1"/>
  <c r="Y204" i="1"/>
  <c r="Y209" i="1"/>
  <c r="Y216" i="1"/>
  <c r="Z216" i="1"/>
  <c r="AC209" i="1"/>
  <c r="I204" i="1"/>
  <c r="J218" i="1" s="1"/>
  <c r="I216" i="1"/>
  <c r="J216" i="1"/>
  <c r="M209" i="1"/>
  <c r="K182" i="1"/>
  <c r="O177" i="1"/>
  <c r="O286" i="1"/>
  <c r="AD233" i="1"/>
  <c r="AW225" i="1"/>
  <c r="U225" i="1"/>
  <c r="Y231" i="1"/>
  <c r="AC218" i="1"/>
  <c r="N217" i="1"/>
  <c r="X211" i="1"/>
  <c r="X218" i="1"/>
  <c r="AQ202" i="1"/>
  <c r="AQ209" i="1" s="1"/>
  <c r="AQ254" i="1"/>
  <c r="AV225" i="1"/>
  <c r="T225" i="1"/>
  <c r="X231" i="1"/>
  <c r="AT223" i="1"/>
  <c r="W209" i="1"/>
  <c r="W216" i="1"/>
  <c r="X233" i="1"/>
  <c r="V209" i="1"/>
  <c r="V216" i="1"/>
  <c r="Z209" i="1"/>
  <c r="V204" i="1"/>
  <c r="W218" i="1" s="1"/>
  <c r="AA182" i="1"/>
  <c r="AA177" i="1"/>
  <c r="AE177" i="1"/>
  <c r="AQ172" i="1"/>
  <c r="AI159" i="1"/>
  <c r="AE166" i="1"/>
  <c r="AE159" i="1"/>
  <c r="AQ152" i="1"/>
  <c r="AX232" i="1"/>
  <c r="AW232" i="1"/>
  <c r="AP204" i="1"/>
  <c r="AP211" i="1" s="1"/>
  <c r="AP209" i="1"/>
  <c r="Y177" i="1"/>
  <c r="AC177" i="1"/>
  <c r="AO153" i="1"/>
  <c r="O144" i="1"/>
  <c r="AR72" i="1"/>
  <c r="AR617" i="1"/>
  <c r="L159" i="1"/>
  <c r="S204" i="1"/>
  <c r="AS204" i="1" s="1"/>
  <c r="L177" i="1"/>
  <c r="AF166" i="1"/>
  <c r="V159" i="1"/>
  <c r="Z159" i="1"/>
  <c r="AC116" i="1"/>
  <c r="AD116" i="1"/>
  <c r="AB116" i="1"/>
  <c r="AE116" i="1" s="1"/>
  <c r="L112" i="1"/>
  <c r="O112" i="1" s="1"/>
  <c r="AO86" i="1"/>
  <c r="AO622" i="1"/>
  <c r="AO625" i="1" s="1"/>
  <c r="AO87" i="1" s="1"/>
  <c r="M86" i="1"/>
  <c r="M622" i="1"/>
  <c r="M625" i="1" s="1"/>
  <c r="M87" i="1" s="1"/>
  <c r="I620" i="1"/>
  <c r="AB209" i="1"/>
  <c r="L209" i="1"/>
  <c r="AF122" i="1"/>
  <c r="AF112" i="1"/>
  <c r="AG112" i="1"/>
  <c r="R122" i="1"/>
  <c r="H112" i="1"/>
  <c r="AC86" i="1"/>
  <c r="AC622" i="1"/>
  <c r="AC625" i="1" s="1"/>
  <c r="AC87" i="1" s="1"/>
  <c r="R86" i="1"/>
  <c r="R622" i="1"/>
  <c r="R625" i="1" s="1"/>
  <c r="R87" i="1" s="1"/>
  <c r="AG166" i="1"/>
  <c r="N122" i="1"/>
  <c r="N112" i="1"/>
  <c r="L166" i="1"/>
  <c r="T166" i="1"/>
  <c r="AO113" i="1"/>
  <c r="AA116" i="1"/>
  <c r="U121" i="1"/>
  <c r="X216" i="1"/>
  <c r="X209" i="1"/>
  <c r="Q175" i="1"/>
  <c r="AD166" i="1"/>
  <c r="P159" i="1"/>
  <c r="AW152" i="1"/>
  <c r="Q121" i="1"/>
  <c r="AA98" i="1"/>
  <c r="Z98" i="1"/>
  <c r="X98" i="1"/>
  <c r="AH622" i="1"/>
  <c r="AH625" i="1" s="1"/>
  <c r="AH87" i="1" s="1"/>
  <c r="N180" i="1"/>
  <c r="Q622" i="1"/>
  <c r="Q625" i="1" s="1"/>
  <c r="Q87" i="1" s="1"/>
  <c r="Q86" i="1"/>
  <c r="L204" i="1"/>
  <c r="AU202" i="1"/>
  <c r="M180" i="1"/>
  <c r="I166" i="1"/>
  <c r="AK159" i="1"/>
  <c r="AU152" i="1"/>
  <c r="AB121" i="1"/>
  <c r="M122" i="1"/>
  <c r="M112" i="1"/>
  <c r="U622" i="1"/>
  <c r="U625" i="1" s="1"/>
  <c r="U87" i="1" s="1"/>
  <c r="U86" i="1"/>
  <c r="U216" i="1"/>
  <c r="AT202" i="1"/>
  <c r="AT209" i="1" s="1"/>
  <c r="AJ159" i="1"/>
  <c r="AT152" i="1"/>
  <c r="AD122" i="1"/>
  <c r="AD112" i="1"/>
  <c r="AU113" i="1"/>
  <c r="AX104" i="1"/>
  <c r="AQ86" i="1"/>
  <c r="AQ113" i="1" s="1"/>
  <c r="AQ622" i="1"/>
  <c r="AQ625" i="1" s="1"/>
  <c r="AQ87" i="1" s="1"/>
  <c r="P86" i="1"/>
  <c r="P622" i="1"/>
  <c r="P625" i="1" s="1"/>
  <c r="P87" i="1" s="1"/>
  <c r="T216" i="1"/>
  <c r="AC182" i="1"/>
  <c r="M175" i="1"/>
  <c r="AS152" i="1"/>
  <c r="AA159" i="1"/>
  <c r="O116" i="1"/>
  <c r="AA86" i="1"/>
  <c r="AA622" i="1"/>
  <c r="AA625" i="1" s="1"/>
  <c r="AA87" i="1" s="1"/>
  <c r="T86" i="1"/>
  <c r="T622" i="1"/>
  <c r="T625" i="1" s="1"/>
  <c r="T87" i="1" s="1"/>
  <c r="S216" i="1"/>
  <c r="AH121" i="1"/>
  <c r="X121" i="1"/>
  <c r="S116" i="1"/>
  <c r="I112" i="1"/>
  <c r="K112" i="1" s="1"/>
  <c r="I122" i="1"/>
  <c r="J112" i="1"/>
  <c r="H204" i="1"/>
  <c r="AQ204" i="1" s="1"/>
  <c r="AQ211" i="1" s="1"/>
  <c r="X166" i="1"/>
  <c r="AC122" i="1"/>
  <c r="AC112" i="1"/>
  <c r="I98" i="1"/>
  <c r="AG622" i="1"/>
  <c r="AG625" i="1" s="1"/>
  <c r="AG87" i="1" s="1"/>
  <c r="AG86" i="1"/>
  <c r="K23" i="56"/>
  <c r="K24" i="56" s="1"/>
  <c r="AS72" i="1"/>
  <c r="AS617" i="1"/>
  <c r="AS620" i="1" s="1"/>
  <c r="AB622" i="1"/>
  <c r="AB625" i="1" s="1"/>
  <c r="AB87" i="1" s="1"/>
  <c r="L622" i="1"/>
  <c r="L625" i="1" s="1"/>
  <c r="L87" i="1" s="1"/>
  <c r="L86" i="1"/>
  <c r="U98" i="1"/>
  <c r="T116" i="1"/>
  <c r="W116" i="1" s="1"/>
  <c r="R116" i="1"/>
  <c r="AS42" i="1"/>
  <c r="AS41" i="1"/>
  <c r="AR620" i="1"/>
  <c r="K116" i="1"/>
  <c r="S622" i="1"/>
  <c r="S625" i="1" s="1"/>
  <c r="S87" i="1" s="1"/>
  <c r="H622" i="1"/>
  <c r="H625" i="1" s="1"/>
  <c r="H87" i="1" s="1"/>
  <c r="AA106" i="1"/>
  <c r="AF248" i="1"/>
  <c r="AT41" i="1"/>
  <c r="Y106" i="1"/>
  <c r="J622" i="1"/>
  <c r="J625" i="1" s="1"/>
  <c r="J87" i="1" s="1"/>
  <c r="J86" i="1"/>
  <c r="AK83" i="1"/>
  <c r="AL83" i="1" s="1"/>
  <c r="AM83" i="1" s="1"/>
  <c r="AH52" i="1"/>
  <c r="AH58" i="1"/>
  <c r="AL52" i="1"/>
  <c r="R52" i="1"/>
  <c r="R58" i="1"/>
  <c r="V52" i="1"/>
  <c r="S137" i="1"/>
  <c r="Z622" i="1"/>
  <c r="Z625" i="1" s="1"/>
  <c r="Z87" i="1" s="1"/>
  <c r="Z86" i="1"/>
  <c r="Z113" i="1" s="1"/>
  <c r="AP82" i="1"/>
  <c r="AP84" i="1" s="1"/>
  <c r="T61" i="1"/>
  <c r="AI119" i="1"/>
  <c r="AT113" i="1"/>
  <c r="AB98" i="1"/>
  <c r="AD98" i="1"/>
  <c r="AE98" i="1"/>
  <c r="N98" i="1"/>
  <c r="O98" i="1"/>
  <c r="AF58" i="1"/>
  <c r="AJ52" i="1"/>
  <c r="AW46" i="1"/>
  <c r="AF47" i="1"/>
  <c r="AF52" i="1"/>
  <c r="P58" i="1"/>
  <c r="T52" i="1"/>
  <c r="P47" i="1"/>
  <c r="P52" i="1"/>
  <c r="AP99" i="1"/>
  <c r="AP95" i="1"/>
  <c r="J24" i="56"/>
  <c r="AT52" i="1"/>
  <c r="AU52" i="1"/>
  <c r="AR42" i="1"/>
  <c r="AR41" i="1"/>
  <c r="AO33" i="1"/>
  <c r="AO36" i="1" s="1"/>
  <c r="AO249" i="1"/>
  <c r="AO271" i="1" s="1"/>
  <c r="AR52" i="1"/>
  <c r="AR58" i="1"/>
  <c r="S53" i="1"/>
  <c r="S61" i="1"/>
  <c r="W53" i="1"/>
  <c r="AQ42" i="1"/>
  <c r="AQ41" i="1"/>
  <c r="Q20" i="56"/>
  <c r="I11" i="194"/>
  <c r="AG36" i="1"/>
  <c r="AG26" i="1"/>
  <c r="AG19" i="1"/>
  <c r="T31" i="220" s="1"/>
  <c r="H20" i="56"/>
  <c r="H21" i="56" s="1"/>
  <c r="X19" i="1"/>
  <c r="K31" i="220" s="1"/>
  <c r="AB19" i="1"/>
  <c r="O31" i="220" s="1"/>
  <c r="X36" i="1"/>
  <c r="X26" i="1"/>
  <c r="Y26" i="1"/>
  <c r="F24" i="56"/>
  <c r="P20" i="56"/>
  <c r="H11" i="194"/>
  <c r="AF26" i="1"/>
  <c r="AF19" i="1"/>
  <c r="S31" i="220" s="1"/>
  <c r="N36" i="1"/>
  <c r="N26" i="1"/>
  <c r="O26" i="1"/>
  <c r="N19" i="1"/>
  <c r="AT58" i="1"/>
  <c r="AG61" i="1"/>
  <c r="AG59" i="1"/>
  <c r="AB61" i="1"/>
  <c r="AB59" i="1"/>
  <c r="L61" i="1"/>
  <c r="L59" i="1"/>
  <c r="AO42" i="1"/>
  <c r="AP41" i="1"/>
  <c r="AL51" i="1"/>
  <c r="U41" i="1"/>
  <c r="Y41" i="1"/>
  <c r="AK35" i="1"/>
  <c r="O36" i="1"/>
  <c r="AL22" i="1"/>
  <c r="AV50" i="1"/>
  <c r="AV56" i="1"/>
  <c r="U42" i="1"/>
  <c r="M27" i="1"/>
  <c r="N27" i="1"/>
  <c r="M20" i="1"/>
  <c r="AV59" i="1"/>
  <c r="Z33" i="1"/>
  <c r="AU247" i="1"/>
  <c r="M35" i="1"/>
  <c r="M36" i="1"/>
  <c r="Q61" i="1"/>
  <c r="Q59" i="1"/>
  <c r="AT50" i="1"/>
  <c r="AT56" i="1"/>
  <c r="AT47" i="1"/>
  <c r="M92" i="1"/>
  <c r="M66" i="1" s="1"/>
  <c r="AR66" i="1"/>
  <c r="N92" i="1"/>
  <c r="N66" i="1" s="1"/>
  <c r="O92" i="1"/>
  <c r="O66" i="1" s="1"/>
  <c r="AM51" i="1"/>
  <c r="W51" i="1"/>
  <c r="S57" i="1"/>
  <c r="AE50" i="1"/>
  <c r="AA56" i="1"/>
  <c r="AA47" i="1"/>
  <c r="O50" i="1"/>
  <c r="K56" i="1"/>
  <c r="K47" i="1"/>
  <c r="O53" i="1" s="1"/>
  <c r="S34" i="1"/>
  <c r="G14" i="194"/>
  <c r="G33" i="194" s="1"/>
  <c r="K40" i="194" s="1"/>
  <c r="AE29" i="1"/>
  <c r="AF29" i="1"/>
  <c r="AE22" i="1"/>
  <c r="M12" i="194"/>
  <c r="M31" i="194" s="1"/>
  <c r="AV20" i="1"/>
  <c r="AV57" i="1"/>
  <c r="AV51" i="1"/>
  <c r="AH47" i="1"/>
  <c r="R47" i="1"/>
  <c r="AU42" i="1"/>
  <c r="AU41" i="1"/>
  <c r="P23" i="1"/>
  <c r="P42" i="1"/>
  <c r="AE21" i="1"/>
  <c r="AE28" i="1"/>
  <c r="N24" i="56"/>
  <c r="AP62" i="1"/>
  <c r="AP67" i="1"/>
  <c r="AU57" i="1"/>
  <c r="AU51" i="1"/>
  <c r="AU47" i="1"/>
  <c r="AV53" i="1" s="1"/>
  <c r="AG57" i="1"/>
  <c r="AG51" i="1"/>
  <c r="Q57" i="1"/>
  <c r="Q51" i="1"/>
  <c r="AC50" i="1"/>
  <c r="Y56" i="1"/>
  <c r="Y450" i="1"/>
  <c r="Y47" i="1"/>
  <c r="M50" i="1"/>
  <c r="I56" i="1"/>
  <c r="I47" i="1"/>
  <c r="E14" i="194"/>
  <c r="E33" i="194" s="1"/>
  <c r="AC22" i="1"/>
  <c r="AG22" i="1"/>
  <c r="AC29" i="1"/>
  <c r="J29" i="1"/>
  <c r="K29" i="1"/>
  <c r="K617" i="1"/>
  <c r="K620" i="1" s="1"/>
  <c r="M24" i="56"/>
  <c r="T92" i="1"/>
  <c r="T66" i="1" s="1"/>
  <c r="U92" i="1"/>
  <c r="U66" i="1" s="1"/>
  <c r="AT66" i="1"/>
  <c r="V92" i="1"/>
  <c r="V66" i="1" s="1"/>
  <c r="W92" i="1"/>
  <c r="W66" i="1" s="1"/>
  <c r="AO61" i="1"/>
  <c r="AW45" i="1"/>
  <c r="AP59" i="1"/>
  <c r="AP53" i="1"/>
  <c r="N566" i="1"/>
  <c r="N16" i="1"/>
  <c r="L24" i="56"/>
  <c r="AI52" i="1"/>
  <c r="AS57" i="1"/>
  <c r="AS51" i="1"/>
  <c r="AB23" i="1"/>
  <c r="AF23" i="1"/>
  <c r="AB30" i="1"/>
  <c r="O16" i="1"/>
  <c r="P30" i="1" s="1"/>
  <c r="O566" i="1"/>
  <c r="D12" i="13"/>
  <c r="F14" i="194"/>
  <c r="F33" i="194" s="1"/>
  <c r="AD22" i="1"/>
  <c r="AD33" i="1"/>
  <c r="AH22" i="1"/>
  <c r="T29" i="1"/>
  <c r="T22" i="1"/>
  <c r="AG21" i="1"/>
  <c r="AG28" i="1"/>
  <c r="X21" i="1"/>
  <c r="X28" i="1"/>
  <c r="Y35" i="1"/>
  <c r="L36" i="1"/>
  <c r="X22" i="1"/>
  <c r="AD28" i="1"/>
  <c r="AF21" i="1"/>
  <c r="AF28" i="1"/>
  <c r="AH51" i="1"/>
  <c r="R51" i="1"/>
  <c r="AC47" i="1"/>
  <c r="AG53" i="1" s="1"/>
  <c r="M47" i="1"/>
  <c r="Q53" i="1" s="1"/>
  <c r="Z30" i="1"/>
  <c r="AA30" i="1"/>
  <c r="D14" i="194"/>
  <c r="D33" i="194" s="1"/>
  <c r="AB22" i="1"/>
  <c r="AF22" i="1"/>
  <c r="AL313" i="1"/>
  <c r="U20" i="1"/>
  <c r="U27" i="1"/>
  <c r="V27" i="1"/>
  <c r="L21" i="1"/>
  <c r="L28" i="1"/>
  <c r="F20" i="56"/>
  <c r="F21" i="56" s="1"/>
  <c r="V26" i="1"/>
  <c r="W26" i="1"/>
  <c r="V19" i="1"/>
  <c r="I31" i="220" s="1"/>
  <c r="AQ58" i="1"/>
  <c r="AU56" i="1"/>
  <c r="AB52" i="1"/>
  <c r="L52" i="1"/>
  <c r="AS47" i="1"/>
  <c r="AP23" i="1"/>
  <c r="Y23" i="1"/>
  <c r="AC23" i="1"/>
  <c r="Y30" i="1"/>
  <c r="L23" i="1"/>
  <c r="L30" i="1"/>
  <c r="R29" i="1"/>
  <c r="R22" i="1"/>
  <c r="T20" i="1"/>
  <c r="X20" i="1"/>
  <c r="T27" i="1"/>
  <c r="O20" i="1"/>
  <c r="K27" i="1"/>
  <c r="AF51" i="1"/>
  <c r="P51" i="1"/>
  <c r="AR47" i="1"/>
  <c r="W34" i="1"/>
  <c r="AA34" i="1"/>
  <c r="W36" i="1"/>
  <c r="AA37" i="1" s="1"/>
  <c r="X23" i="1"/>
  <c r="AK171" i="1"/>
  <c r="AL298" i="1"/>
  <c r="E12" i="194"/>
  <c r="E31" i="194" s="1"/>
  <c r="AC27" i="1"/>
  <c r="AD27" i="1"/>
  <c r="AC20" i="1"/>
  <c r="T21" i="1"/>
  <c r="T28" i="1"/>
  <c r="K14" i="194"/>
  <c r="AI29" i="1"/>
  <c r="AI22" i="1"/>
  <c r="D9" i="13"/>
  <c r="N20" i="56"/>
  <c r="F11" i="194"/>
  <c r="AD36" i="1"/>
  <c r="AD26" i="1"/>
  <c r="AE26" i="1"/>
  <c r="AD19" i="1"/>
  <c r="Q31" i="220" s="1"/>
  <c r="N59" i="1"/>
  <c r="AH57" i="1"/>
  <c r="R57" i="1"/>
  <c r="AQ47" i="1"/>
  <c r="Z47" i="1"/>
  <c r="J47" i="1"/>
  <c r="N53" i="1" s="1"/>
  <c r="W16" i="1"/>
  <c r="W566" i="1"/>
  <c r="W21" i="1"/>
  <c r="W28" i="1"/>
  <c r="D12" i="194"/>
  <c r="D31" i="194" s="1"/>
  <c r="AB20" i="1"/>
  <c r="S20" i="1"/>
  <c r="W20" i="1"/>
  <c r="S27" i="1"/>
  <c r="AK29" i="1"/>
  <c r="AK22" i="1"/>
  <c r="AM223" i="1"/>
  <c r="AI245" i="1"/>
  <c r="AD51" i="1"/>
  <c r="N51" i="1"/>
  <c r="W450" i="1"/>
  <c r="X171" i="1"/>
  <c r="X170" i="1"/>
  <c r="J9" i="326"/>
  <c r="AG33" i="1"/>
  <c r="AK34" i="1" s="1"/>
  <c r="U33" i="1"/>
  <c r="AA21" i="1"/>
  <c r="V566" i="1"/>
  <c r="V16" i="1"/>
  <c r="J30" i="1"/>
  <c r="K30" i="1"/>
  <c r="Z22" i="1"/>
  <c r="Z29" i="1"/>
  <c r="AA29" i="1"/>
  <c r="V28" i="1"/>
  <c r="AB21" i="1"/>
  <c r="AB28" i="1"/>
  <c r="S21" i="1"/>
  <c r="AF57" i="1"/>
  <c r="Z56" i="1"/>
  <c r="J56" i="1"/>
  <c r="AC51" i="1"/>
  <c r="M51" i="1"/>
  <c r="X47" i="1"/>
  <c r="H47" i="1"/>
  <c r="AB42" i="1"/>
  <c r="I9" i="326"/>
  <c r="AF33" i="1"/>
  <c r="AF36" i="1" s="1"/>
  <c r="T33" i="1"/>
  <c r="X34" i="1" s="1"/>
  <c r="AH30" i="1"/>
  <c r="U23" i="1"/>
  <c r="M23" i="1"/>
  <c r="I30" i="1"/>
  <c r="AA20" i="1"/>
  <c r="AE20" i="1"/>
  <c r="AA27" i="1"/>
  <c r="J26" i="1"/>
  <c r="AM52" i="1"/>
  <c r="AT51" i="1"/>
  <c r="AC30" i="1"/>
  <c r="AG30" i="1"/>
  <c r="AM29" i="1"/>
  <c r="AM22" i="1"/>
  <c r="O29" i="1"/>
  <c r="P29" i="1"/>
  <c r="O22" i="1"/>
  <c r="U21" i="1"/>
  <c r="U28" i="1"/>
  <c r="M19" i="1"/>
  <c r="X56" i="1"/>
  <c r="H56" i="1"/>
  <c r="V47" i="1"/>
  <c r="AB27" i="1"/>
  <c r="T23" i="1"/>
  <c r="T30" i="1"/>
  <c r="N22" i="1"/>
  <c r="N33" i="1"/>
  <c r="Q27" i="1"/>
  <c r="R27" i="1"/>
  <c r="Q20" i="1"/>
  <c r="R26" i="1"/>
  <c r="S26" i="1"/>
  <c r="R19" i="1"/>
  <c r="S58" i="1"/>
  <c r="U52" i="1"/>
  <c r="AR51" i="1"/>
  <c r="U47" i="1"/>
  <c r="R33" i="1"/>
  <c r="R36" i="1" s="1"/>
  <c r="M30" i="1"/>
  <c r="I26" i="1"/>
  <c r="AW15" i="1"/>
  <c r="M22" i="1"/>
  <c r="Q22" i="1"/>
  <c r="M29" i="1"/>
  <c r="O21" i="1"/>
  <c r="O28" i="1"/>
  <c r="AV128" i="1"/>
  <c r="AV12" i="1"/>
  <c r="Q36" i="1"/>
  <c r="Q26" i="1"/>
  <c r="Q19" i="1"/>
  <c r="L19" i="1"/>
  <c r="AQ51" i="1"/>
  <c r="P412" i="1"/>
  <c r="AT36" i="1"/>
  <c r="AS247" i="1"/>
  <c r="Q33" i="1"/>
  <c r="AE16" i="1"/>
  <c r="AE59" i="1" s="1"/>
  <c r="AE566" i="1"/>
  <c r="M14" i="194"/>
  <c r="M33" i="194" s="1"/>
  <c r="AV22" i="1"/>
  <c r="W29" i="1"/>
  <c r="X29" i="1"/>
  <c r="W22" i="1"/>
  <c r="N28" i="1"/>
  <c r="AP20" i="1"/>
  <c r="AQ20" i="1"/>
  <c r="Y20" i="1"/>
  <c r="Y27" i="1"/>
  <c r="AU19" i="1"/>
  <c r="J20" i="56"/>
  <c r="Z19" i="1"/>
  <c r="M31" i="220" s="1"/>
  <c r="Z26" i="1"/>
  <c r="Q21" i="1"/>
  <c r="Q28" i="1"/>
  <c r="AR36" i="1"/>
  <c r="P35" i="1"/>
  <c r="AD29" i="1"/>
  <c r="AG23" i="1"/>
  <c r="AF20" i="1"/>
  <c r="AD566" i="1"/>
  <c r="AD16" i="1"/>
  <c r="AD59" i="1" s="1"/>
  <c r="R30" i="1"/>
  <c r="R23" i="1"/>
  <c r="V29" i="1"/>
  <c r="V33" i="1"/>
  <c r="L22" i="1"/>
  <c r="P22" i="1"/>
  <c r="I20" i="56"/>
  <c r="I21" i="56" s="1"/>
  <c r="Y19" i="1"/>
  <c r="L31" i="220" s="1"/>
  <c r="AC19" i="1"/>
  <c r="P31" i="220" s="1"/>
  <c r="Y36" i="1"/>
  <c r="P36" i="1"/>
  <c r="P26" i="1"/>
  <c r="P19" i="1"/>
  <c r="T19" i="1"/>
  <c r="G31" i="220" s="1"/>
  <c r="AB29" i="1"/>
  <c r="AT23" i="1"/>
  <c r="Q30" i="1"/>
  <c r="AU22" i="1"/>
  <c r="Y22" i="1"/>
  <c r="U29" i="1"/>
  <c r="U22" i="1"/>
  <c r="I12" i="194"/>
  <c r="AG27" i="1"/>
  <c r="AH27" i="1"/>
  <c r="AG20" i="1"/>
  <c r="AL170" i="1"/>
  <c r="AL246" i="1"/>
  <c r="AX15" i="1"/>
  <c r="AJ29" i="1"/>
  <c r="AJ22" i="1"/>
  <c r="E9" i="13"/>
  <c r="R20" i="56"/>
  <c r="R21" i="56" s="1"/>
  <c r="J11" i="194"/>
  <c r="AH26" i="1"/>
  <c r="AH19" i="1"/>
  <c r="U31" i="220" s="1"/>
  <c r="Y21" i="1"/>
  <c r="Y28" i="1"/>
  <c r="P21" i="1"/>
  <c r="P28" i="1"/>
  <c r="E10" i="13"/>
  <c r="J12" i="194"/>
  <c r="O20" i="56"/>
  <c r="O21" i="56" s="1"/>
  <c r="G11" i="194"/>
  <c r="G21" i="56"/>
  <c r="T171" i="1"/>
  <c r="X35" i="1"/>
  <c r="P34" i="1"/>
  <c r="AE33" i="1"/>
  <c r="S22" i="1"/>
  <c r="E12" i="13"/>
  <c r="J14" i="194"/>
  <c r="I21" i="194"/>
  <c r="I33" i="194"/>
  <c r="H19" i="194"/>
  <c r="H31" i="194"/>
  <c r="M20" i="56"/>
  <c r="M21" i="56" s="1"/>
  <c r="E11" i="194"/>
  <c r="AH33" i="1"/>
  <c r="AH36" i="1" s="1"/>
  <c r="AC33" i="1"/>
  <c r="AH128" i="1"/>
  <c r="Z128" i="1"/>
  <c r="R128" i="1"/>
  <c r="J128" i="1"/>
  <c r="J227" i="1"/>
  <c r="U30" i="1"/>
  <c r="H21" i="194"/>
  <c r="H33" i="194"/>
  <c r="L20" i="56"/>
  <c r="L21" i="56" s="1"/>
  <c r="D11" i="194"/>
  <c r="AB33" i="1"/>
  <c r="AP128" i="1"/>
  <c r="AH29" i="1"/>
  <c r="AA19" i="1"/>
  <c r="N31" i="220" s="1"/>
  <c r="D10" i="13"/>
  <c r="F12" i="194"/>
  <c r="F31" i="194" s="1"/>
  <c r="K21" i="56"/>
  <c r="AH200" i="1"/>
  <c r="AV247" i="1"/>
  <c r="J116" i="2" l="1"/>
  <c r="K86" i="1"/>
  <c r="K113" i="1" s="1"/>
  <c r="K622" i="1"/>
  <c r="K625" i="1" s="1"/>
  <c r="K87" i="1" s="1"/>
  <c r="R38" i="1"/>
  <c r="R37" i="1"/>
  <c r="S38" i="1"/>
  <c r="P520" i="1"/>
  <c r="P528" i="1"/>
  <c r="P535" i="1"/>
  <c r="AS211" i="1"/>
  <c r="AS86" i="1"/>
  <c r="AS113" i="1" s="1"/>
  <c r="AS622" i="1"/>
  <c r="AS625" i="1" s="1"/>
  <c r="AS87" i="1" s="1"/>
  <c r="AD520" i="1"/>
  <c r="AD528" i="1"/>
  <c r="AD535" i="1"/>
  <c r="AH528" i="1"/>
  <c r="AH38" i="1"/>
  <c r="AH37" i="1"/>
  <c r="N38" i="1"/>
  <c r="M113" i="1"/>
  <c r="AP14" i="1"/>
  <c r="AQ135" i="1"/>
  <c r="AP130" i="1"/>
  <c r="AP135" i="1"/>
  <c r="H38" i="194"/>
  <c r="E17" i="13"/>
  <c r="H10" i="13"/>
  <c r="I10" i="13"/>
  <c r="Y38" i="1"/>
  <c r="W448" i="1"/>
  <c r="W455" i="1"/>
  <c r="W460" i="1"/>
  <c r="X460" i="1"/>
  <c r="W40" i="1"/>
  <c r="W574" i="1"/>
  <c r="F16" i="13"/>
  <c r="D11" i="13"/>
  <c r="G16" i="13"/>
  <c r="AJ34" i="1"/>
  <c r="R53" i="1"/>
  <c r="R61" i="1"/>
  <c r="R59" i="1"/>
  <c r="AD57" i="1"/>
  <c r="J113" i="1"/>
  <c r="Z211" i="1"/>
  <c r="AB286" i="1"/>
  <c r="AB293" i="1"/>
  <c r="AC293" i="1"/>
  <c r="T218" i="1"/>
  <c r="AT418" i="1"/>
  <c r="AS407" i="1"/>
  <c r="S440" i="1"/>
  <c r="T440" i="1"/>
  <c r="S429" i="1"/>
  <c r="W429" i="1"/>
  <c r="AQ471" i="1"/>
  <c r="N536" i="1"/>
  <c r="N529" i="1"/>
  <c r="R529" i="1"/>
  <c r="X529" i="1"/>
  <c r="X536" i="1"/>
  <c r="R534" i="1"/>
  <c r="D15" i="7"/>
  <c r="D17" i="7" s="1"/>
  <c r="E17" i="7"/>
  <c r="L17" i="7"/>
  <c r="M15" i="7"/>
  <c r="H226" i="1"/>
  <c r="H248" i="1"/>
  <c r="F24" i="326"/>
  <c r="AC226" i="1"/>
  <c r="AC248" i="1"/>
  <c r="AC550" i="1"/>
  <c r="AC551" i="1"/>
  <c r="AU529" i="1"/>
  <c r="AV529" i="1"/>
  <c r="AU521" i="1"/>
  <c r="AU536" i="1"/>
  <c r="I59" i="1"/>
  <c r="I61" i="1"/>
  <c r="AE35" i="1"/>
  <c r="AE36" i="1"/>
  <c r="AF38" i="1" s="1"/>
  <c r="AE34" i="1"/>
  <c r="Z14" i="1"/>
  <c r="Z135" i="1"/>
  <c r="AD135" i="1"/>
  <c r="Z130" i="1"/>
  <c r="Z142" i="1"/>
  <c r="AA142" i="1"/>
  <c r="AB34" i="1"/>
  <c r="AB35" i="1"/>
  <c r="AB36" i="1"/>
  <c r="D30" i="194"/>
  <c r="D13" i="194"/>
  <c r="H40" i="194"/>
  <c r="I40" i="194"/>
  <c r="W23" i="1"/>
  <c r="W30" i="1"/>
  <c r="W58" i="1"/>
  <c r="W57" i="1"/>
  <c r="AP69" i="1"/>
  <c r="AP68" i="1"/>
  <c r="AH53" i="1"/>
  <c r="AH61" i="1"/>
  <c r="AH59" i="1"/>
  <c r="AA59" i="1"/>
  <c r="AA53" i="1"/>
  <c r="AA61" i="1"/>
  <c r="V218" i="1"/>
  <c r="V211" i="1"/>
  <c r="M159" i="1"/>
  <c r="Q159" i="1"/>
  <c r="M166" i="1"/>
  <c r="M279" i="1"/>
  <c r="M332" i="1"/>
  <c r="M385" i="1"/>
  <c r="AW303" i="1"/>
  <c r="U534" i="1"/>
  <c r="Z529" i="1"/>
  <c r="V536" i="1"/>
  <c r="V529" i="1"/>
  <c r="X226" i="1"/>
  <c r="X248" i="1"/>
  <c r="X550" i="1"/>
  <c r="X551" i="1"/>
  <c r="AG38" i="1"/>
  <c r="G24" i="326"/>
  <c r="AD226" i="1"/>
  <c r="AD248" i="1"/>
  <c r="AD551" i="1"/>
  <c r="AD550" i="1"/>
  <c r="AV33" i="1"/>
  <c r="AV255" i="1"/>
  <c r="AV269" i="1"/>
  <c r="AZ247" i="1"/>
  <c r="I19" i="7"/>
  <c r="K227" i="1"/>
  <c r="L227" i="1"/>
  <c r="M227" i="1" s="1"/>
  <c r="J235" i="1"/>
  <c r="AQ227" i="1"/>
  <c r="AQ235" i="1" s="1"/>
  <c r="J242" i="1"/>
  <c r="J21" i="194"/>
  <c r="J33" i="194"/>
  <c r="J40" i="194" s="1"/>
  <c r="AV14" i="1"/>
  <c r="AV21" i="1" s="1"/>
  <c r="AV135" i="1"/>
  <c r="AV130" i="1"/>
  <c r="AV137" i="1" s="1"/>
  <c r="AI247" i="1"/>
  <c r="AW245" i="1"/>
  <c r="AI253" i="1"/>
  <c r="V26" i="220" s="1"/>
  <c r="AI260" i="1"/>
  <c r="AJ260" i="1"/>
  <c r="Z59" i="1"/>
  <c r="Z53" i="1"/>
  <c r="Z61" i="1"/>
  <c r="Q21" i="56"/>
  <c r="X112" i="1"/>
  <c r="X122" i="1"/>
  <c r="Y112" i="1"/>
  <c r="AB112" i="1"/>
  <c r="AB122" i="1"/>
  <c r="AW159" i="1"/>
  <c r="AX159" i="1"/>
  <c r="AW279" i="1"/>
  <c r="AW332" i="1"/>
  <c r="AW385" i="1"/>
  <c r="W240" i="1"/>
  <c r="X240" i="1"/>
  <c r="W269" i="1"/>
  <c r="M211" i="1"/>
  <c r="Q211" i="1"/>
  <c r="M218" i="1"/>
  <c r="AA455" i="1"/>
  <c r="AD533" i="1"/>
  <c r="AD514" i="1"/>
  <c r="AH514" i="1"/>
  <c r="Y226" i="1"/>
  <c r="Y248" i="1"/>
  <c r="Y550" i="1"/>
  <c r="Y551" i="1"/>
  <c r="V59" i="1"/>
  <c r="V53" i="1"/>
  <c r="J59" i="1"/>
  <c r="J61" i="1"/>
  <c r="AW51" i="1"/>
  <c r="Q67" i="1"/>
  <c r="Q73" i="1"/>
  <c r="Q63" i="1"/>
  <c r="Q484" i="1"/>
  <c r="AH214" i="1"/>
  <c r="AH207" i="1"/>
  <c r="AH202" i="1"/>
  <c r="H12" i="13"/>
  <c r="E19" i="13"/>
  <c r="I12" i="13"/>
  <c r="H59" i="1"/>
  <c r="H61" i="1"/>
  <c r="L62" i="1" s="1"/>
  <c r="AM245" i="1"/>
  <c r="AM225" i="1"/>
  <c r="AX223" i="1"/>
  <c r="AX231" i="1" s="1"/>
  <c r="AM238" i="1"/>
  <c r="AQ59" i="1"/>
  <c r="AQ53" i="1"/>
  <c r="AR59" i="1"/>
  <c r="AR53" i="1"/>
  <c r="AO67" i="1"/>
  <c r="AO73" i="1"/>
  <c r="AO63" i="1"/>
  <c r="AO64" i="1"/>
  <c r="AO484" i="1"/>
  <c r="AQ61" i="1"/>
  <c r="M38" i="1"/>
  <c r="AD53" i="1"/>
  <c r="AX51" i="1"/>
  <c r="AP108" i="1"/>
  <c r="AP111" i="1" s="1"/>
  <c r="AP101" i="1"/>
  <c r="AS110" i="1"/>
  <c r="F50" i="2"/>
  <c r="F89" i="2" s="1"/>
  <c r="AH112" i="1"/>
  <c r="AH122" i="1"/>
  <c r="E125" i="2" s="1"/>
  <c r="AU159" i="1"/>
  <c r="AU279" i="1"/>
  <c r="AU332" i="1"/>
  <c r="AU385" i="1"/>
  <c r="Y233" i="1"/>
  <c r="U227" i="1"/>
  <c r="U240" i="1"/>
  <c r="U269" i="1"/>
  <c r="V240" i="1"/>
  <c r="Z233" i="1"/>
  <c r="V269" i="1"/>
  <c r="Z520" i="1"/>
  <c r="Z535" i="1"/>
  <c r="AT529" i="1"/>
  <c r="AT521" i="1"/>
  <c r="AT536" i="1"/>
  <c r="AQ550" i="1"/>
  <c r="O226" i="1"/>
  <c r="O248" i="1"/>
  <c r="O551" i="1"/>
  <c r="O550" i="1"/>
  <c r="AR453" i="1"/>
  <c r="I248" i="1"/>
  <c r="I226" i="1"/>
  <c r="I551" i="1"/>
  <c r="V34" i="1"/>
  <c r="V35" i="1"/>
  <c r="AE40" i="1"/>
  <c r="AE574" i="1"/>
  <c r="X59" i="1"/>
  <c r="X53" i="1"/>
  <c r="X61" i="1"/>
  <c r="AB53" i="1"/>
  <c r="AS59" i="1"/>
  <c r="AS53" i="1"/>
  <c r="AM313" i="1"/>
  <c r="AL318" i="1"/>
  <c r="W56" i="1"/>
  <c r="Y59" i="1"/>
  <c r="Y53" i="1"/>
  <c r="Y61" i="1"/>
  <c r="H18" i="194"/>
  <c r="H13" i="194"/>
  <c r="H30" i="194"/>
  <c r="AR622" i="1"/>
  <c r="AR625" i="1" s="1"/>
  <c r="AR87" i="1" s="1"/>
  <c r="AR86" i="1"/>
  <c r="AR113" i="1" s="1"/>
  <c r="I86" i="1"/>
  <c r="I622" i="1"/>
  <c r="I625" i="1" s="1"/>
  <c r="I87" i="1" s="1"/>
  <c r="AW233" i="1"/>
  <c r="J23" i="7"/>
  <c r="AR471" i="1"/>
  <c r="N521" i="1"/>
  <c r="AS536" i="1"/>
  <c r="AS529" i="1"/>
  <c r="J226" i="1"/>
  <c r="J248" i="1"/>
  <c r="J551" i="1"/>
  <c r="H24" i="326"/>
  <c r="AE226" i="1"/>
  <c r="AE248" i="1"/>
  <c r="AE551" i="1"/>
  <c r="AE550" i="1"/>
  <c r="K21" i="194"/>
  <c r="K52" i="194"/>
  <c r="Q112" i="1"/>
  <c r="Q122" i="1"/>
  <c r="AR210" i="1"/>
  <c r="AS210" i="1"/>
  <c r="J14" i="1"/>
  <c r="N135" i="1"/>
  <c r="J130" i="1"/>
  <c r="J142" i="1"/>
  <c r="K142" i="1"/>
  <c r="AF30" i="1"/>
  <c r="AE23" i="1"/>
  <c r="AE57" i="1"/>
  <c r="AE30" i="1"/>
  <c r="AE56" i="1"/>
  <c r="AE58" i="1"/>
  <c r="V23" i="1"/>
  <c r="V30" i="1"/>
  <c r="V58" i="1"/>
  <c r="V57" i="1"/>
  <c r="AD35" i="1"/>
  <c r="AD34" i="1"/>
  <c r="Y448" i="1"/>
  <c r="Y455" i="1"/>
  <c r="AU450" i="1"/>
  <c r="AC455" i="1"/>
  <c r="F32" i="326" s="1"/>
  <c r="Y460" i="1"/>
  <c r="Z460" i="1"/>
  <c r="P21" i="56"/>
  <c r="AJ119" i="1"/>
  <c r="AW119" i="1"/>
  <c r="S218" i="1"/>
  <c r="S211" i="1"/>
  <c r="AF536" i="1"/>
  <c r="AF529" i="1"/>
  <c r="T520" i="1"/>
  <c r="T535" i="1"/>
  <c r="T528" i="1"/>
  <c r="AS528" i="1"/>
  <c r="AS535" i="1"/>
  <c r="P536" i="1"/>
  <c r="P529" i="1"/>
  <c r="T529" i="1"/>
  <c r="AU514" i="1"/>
  <c r="Z248" i="1"/>
  <c r="Z226" i="1"/>
  <c r="Z550" i="1"/>
  <c r="Z551" i="1"/>
  <c r="P226" i="1"/>
  <c r="P248" i="1"/>
  <c r="P551" i="1"/>
  <c r="P550" i="1"/>
  <c r="Q38" i="1"/>
  <c r="Q37" i="1"/>
  <c r="L408" i="1"/>
  <c r="AF520" i="1"/>
  <c r="AF535" i="1"/>
  <c r="AF528" i="1"/>
  <c r="J21" i="56"/>
  <c r="Q35" i="1"/>
  <c r="Q34" i="1"/>
  <c r="V40" i="1"/>
  <c r="V574" i="1"/>
  <c r="AU33" i="1"/>
  <c r="AU255" i="1"/>
  <c r="AU269" i="1"/>
  <c r="H19" i="7"/>
  <c r="S37" i="1"/>
  <c r="O38" i="1"/>
  <c r="L73" i="1"/>
  <c r="L63" i="1"/>
  <c r="L67" i="1"/>
  <c r="L484" i="1"/>
  <c r="S67" i="1"/>
  <c r="S73" i="1"/>
  <c r="S63" i="1"/>
  <c r="S484" i="1"/>
  <c r="D11" i="56"/>
  <c r="D9" i="56" s="1"/>
  <c r="T67" i="1"/>
  <c r="T63" i="1"/>
  <c r="T73" i="1"/>
  <c r="T484" i="1"/>
  <c r="AX83" i="1"/>
  <c r="AF533" i="1"/>
  <c r="AF514" i="1"/>
  <c r="AS488" i="1"/>
  <c r="F32" i="2"/>
  <c r="P533" i="1"/>
  <c r="P514" i="1"/>
  <c r="F47" i="7"/>
  <c r="AR550" i="1"/>
  <c r="I24" i="326"/>
  <c r="AF226" i="1"/>
  <c r="AF551" i="1"/>
  <c r="AW549" i="1"/>
  <c r="AF550" i="1"/>
  <c r="AJ550" i="1"/>
  <c r="N533" i="1"/>
  <c r="N514" i="1"/>
  <c r="R514" i="1"/>
  <c r="I18" i="194"/>
  <c r="I13" i="194"/>
  <c r="I30" i="194"/>
  <c r="AS33" i="1"/>
  <c r="AS255" i="1"/>
  <c r="AT255" i="1"/>
  <c r="F19" i="7"/>
  <c r="N35" i="1"/>
  <c r="AR61" i="1"/>
  <c r="Z34" i="1"/>
  <c r="Z35" i="1"/>
  <c r="AA35" i="1"/>
  <c r="Z36" i="1"/>
  <c r="O35" i="1"/>
  <c r="P53" i="1"/>
  <c r="P61" i="1"/>
  <c r="P59" i="1"/>
  <c r="T53" i="1"/>
  <c r="AS61" i="1"/>
  <c r="AU209" i="1"/>
  <c r="AV209" i="1"/>
  <c r="H113" i="1"/>
  <c r="AQ159" i="1"/>
  <c r="AQ279" i="1"/>
  <c r="AQ286" i="1" s="1"/>
  <c r="AQ332" i="1"/>
  <c r="AQ339" i="1" s="1"/>
  <c r="AQ385" i="1"/>
  <c r="AU231" i="1"/>
  <c r="AT267" i="1"/>
  <c r="AQ488" i="1"/>
  <c r="AR528" i="1"/>
  <c r="AR535" i="1"/>
  <c r="AT471" i="1"/>
  <c r="M408" i="1"/>
  <c r="K226" i="1"/>
  <c r="K248" i="1"/>
  <c r="K551" i="1"/>
  <c r="Q248" i="1"/>
  <c r="Q226" i="1"/>
  <c r="Q551" i="1"/>
  <c r="Q550" i="1"/>
  <c r="N159" i="1"/>
  <c r="R159" i="1"/>
  <c r="N166" i="1"/>
  <c r="O166" i="1"/>
  <c r="N279" i="1"/>
  <c r="N385" i="1"/>
  <c r="N332" i="1"/>
  <c r="J18" i="194"/>
  <c r="J13" i="194"/>
  <c r="J30" i="194"/>
  <c r="H9" i="13"/>
  <c r="I9" i="13"/>
  <c r="E16" i="13"/>
  <c r="E11" i="13"/>
  <c r="BA16" i="1"/>
  <c r="AD23" i="1"/>
  <c r="AD30" i="1"/>
  <c r="AD56" i="1"/>
  <c r="AD58" i="1"/>
  <c r="N14" i="194"/>
  <c r="AW22" i="1"/>
  <c r="J12" i="2"/>
  <c r="U35" i="1"/>
  <c r="U36" i="1"/>
  <c r="Y37" i="1" s="1"/>
  <c r="U34" i="1"/>
  <c r="AM298" i="1"/>
  <c r="AL171" i="1"/>
  <c r="AL303" i="1"/>
  <c r="F19" i="13"/>
  <c r="G19" i="13"/>
  <c r="L11" i="56"/>
  <c r="D24" i="194"/>
  <c r="AB62" i="1"/>
  <c r="AB67" i="1"/>
  <c r="AB63" i="1"/>
  <c r="AB73" i="1"/>
  <c r="AB484" i="1"/>
  <c r="AR204" i="1"/>
  <c r="AR211" i="1" s="1"/>
  <c r="L211" i="1"/>
  <c r="P211" i="1"/>
  <c r="L218" i="1"/>
  <c r="U112" i="1"/>
  <c r="V112" i="1"/>
  <c r="U122" i="1"/>
  <c r="R112" i="1"/>
  <c r="AR152" i="1"/>
  <c r="AS455" i="1"/>
  <c r="Q521" i="1"/>
  <c r="Q536" i="1"/>
  <c r="Q529" i="1"/>
  <c r="U529" i="1"/>
  <c r="H406" i="1"/>
  <c r="AQ408" i="1"/>
  <c r="AO423" i="1"/>
  <c r="AO465" i="1"/>
  <c r="W529" i="1"/>
  <c r="W536" i="1"/>
  <c r="W521" i="1"/>
  <c r="X533" i="1"/>
  <c r="G47" i="7"/>
  <c r="E226" i="1"/>
  <c r="E248" i="1"/>
  <c r="D24" i="326"/>
  <c r="D25" i="326" s="1"/>
  <c r="AA226" i="1"/>
  <c r="AA248" i="1"/>
  <c r="AA550" i="1"/>
  <c r="AA551" i="1"/>
  <c r="J24" i="326"/>
  <c r="AG226" i="1"/>
  <c r="AG248" i="1"/>
  <c r="AG551" i="1"/>
  <c r="AG550" i="1"/>
  <c r="AK550" i="1"/>
  <c r="AV159" i="1"/>
  <c r="AV385" i="1"/>
  <c r="AV332" i="1"/>
  <c r="AV339" i="1" s="1"/>
  <c r="AV279" i="1"/>
  <c r="AV286" i="1" s="1"/>
  <c r="AH14" i="1"/>
  <c r="AH130" i="1"/>
  <c r="AH142" i="1"/>
  <c r="AH135" i="1"/>
  <c r="AC34" i="1"/>
  <c r="AC35" i="1"/>
  <c r="AC36" i="1"/>
  <c r="AG37" i="1" s="1"/>
  <c r="AT171" i="1"/>
  <c r="T172" i="1"/>
  <c r="T181" i="1"/>
  <c r="U181" i="1"/>
  <c r="T176" i="1"/>
  <c r="T351" i="1"/>
  <c r="AD40" i="1"/>
  <c r="AV566" i="1"/>
  <c r="AV40" i="1" s="1"/>
  <c r="AD574" i="1"/>
  <c r="AG35" i="1"/>
  <c r="AG34" i="1"/>
  <c r="AK172" i="1"/>
  <c r="AK181" i="1"/>
  <c r="AK176" i="1"/>
  <c r="AK351" i="1"/>
  <c r="O40" i="1"/>
  <c r="O574" i="1"/>
  <c r="V56" i="1"/>
  <c r="AC113" i="1"/>
  <c r="T227" i="1"/>
  <c r="AT225" i="1"/>
  <c r="T269" i="1"/>
  <c r="P113" i="1"/>
  <c r="AR209" i="1"/>
  <c r="AP177" i="1"/>
  <c r="AP299" i="1"/>
  <c r="AP304" i="1" s="1"/>
  <c r="AP352" i="1"/>
  <c r="AP357" i="1" s="1"/>
  <c r="AP387" i="1"/>
  <c r="AR177" i="1"/>
  <c r="AR299" i="1"/>
  <c r="AR352" i="1"/>
  <c r="AR387" i="1"/>
  <c r="AV420" i="1"/>
  <c r="AV478" i="1"/>
  <c r="AW478" i="1"/>
  <c r="Y529" i="1"/>
  <c r="Y521" i="1"/>
  <c r="Y536" i="1"/>
  <c r="AR488" i="1"/>
  <c r="E32" i="2"/>
  <c r="AH527" i="1"/>
  <c r="AH534" i="1"/>
  <c r="X521" i="1"/>
  <c r="AG204" i="1"/>
  <c r="AG209" i="1"/>
  <c r="AG216" i="1"/>
  <c r="U226" i="1"/>
  <c r="U248" i="1"/>
  <c r="U551" i="1"/>
  <c r="U550" i="1"/>
  <c r="S226" i="1"/>
  <c r="S248" i="1"/>
  <c r="S551" i="1"/>
  <c r="S550" i="1"/>
  <c r="R14" i="1"/>
  <c r="R130" i="1"/>
  <c r="R142" i="1"/>
  <c r="S142" i="1"/>
  <c r="R135" i="1"/>
  <c r="V135" i="1"/>
  <c r="F17" i="13"/>
  <c r="G17" i="13"/>
  <c r="AH35" i="1"/>
  <c r="AH34" i="1"/>
  <c r="P410" i="1"/>
  <c r="AS412" i="1"/>
  <c r="AH23" i="1"/>
  <c r="X30" i="1"/>
  <c r="Z23" i="1"/>
  <c r="Y34" i="1"/>
  <c r="O23" i="1"/>
  <c r="S23" i="1"/>
  <c r="O30" i="1"/>
  <c r="O57" i="1"/>
  <c r="O56" i="1"/>
  <c r="O58" i="1"/>
  <c r="O59" i="1"/>
  <c r="W59" i="1"/>
  <c r="Q11" i="56"/>
  <c r="I24" i="194"/>
  <c r="AG67" i="1"/>
  <c r="AG63" i="1"/>
  <c r="AG73" i="1"/>
  <c r="AG484" i="1"/>
  <c r="X37" i="1"/>
  <c r="X38" i="1"/>
  <c r="AT159" i="1"/>
  <c r="AT279" i="1"/>
  <c r="AT332" i="1"/>
  <c r="AT385" i="1"/>
  <c r="AG113" i="1"/>
  <c r="L113" i="1"/>
  <c r="AV233" i="1"/>
  <c r="I23" i="7"/>
  <c r="AV455" i="1"/>
  <c r="AG521" i="1"/>
  <c r="AG536" i="1"/>
  <c r="AG529" i="1"/>
  <c r="AU429" i="1"/>
  <c r="L520" i="1"/>
  <c r="L528" i="1"/>
  <c r="L535" i="1"/>
  <c r="AO479" i="1"/>
  <c r="V521" i="1"/>
  <c r="O96" i="2"/>
  <c r="L13" i="7"/>
  <c r="M11" i="7"/>
  <c r="F226" i="1"/>
  <c r="F248" i="1"/>
  <c r="L226" i="1"/>
  <c r="L248" i="1"/>
  <c r="L550" i="1"/>
  <c r="L551" i="1"/>
  <c r="L24" i="326"/>
  <c r="M24" i="326"/>
  <c r="N24" i="326"/>
  <c r="AM550" i="1"/>
  <c r="AI551" i="1"/>
  <c r="AJ551" i="1"/>
  <c r="AI550" i="1"/>
  <c r="G13" i="194"/>
  <c r="G30" i="194"/>
  <c r="K37" i="194" s="1"/>
  <c r="O14" i="194"/>
  <c r="AX22" i="1"/>
  <c r="K12" i="2"/>
  <c r="R35" i="1"/>
  <c r="S35" i="1"/>
  <c r="R34" i="1"/>
  <c r="AU170" i="1"/>
  <c r="Y180" i="1"/>
  <c r="AB175" i="1"/>
  <c r="X172" i="1"/>
  <c r="X175" i="1"/>
  <c r="X350" i="1"/>
  <c r="X180" i="1"/>
  <c r="AD37" i="1"/>
  <c r="AD38" i="1"/>
  <c r="N23" i="1"/>
  <c r="N30" i="1"/>
  <c r="N56" i="1"/>
  <c r="N58" i="1"/>
  <c r="AF53" i="1"/>
  <c r="AF61" i="1"/>
  <c r="AF59" i="1"/>
  <c r="AF113" i="1"/>
  <c r="AR110" i="1"/>
  <c r="E50" i="2"/>
  <c r="E89" i="2" s="1"/>
  <c r="AQ177" i="1"/>
  <c r="AQ299" i="1"/>
  <c r="AQ304" i="1" s="1"/>
  <c r="AQ352" i="1"/>
  <c r="AQ357" i="1" s="1"/>
  <c r="AQ387" i="1"/>
  <c r="T112" i="1"/>
  <c r="AS453" i="1"/>
  <c r="AW431" i="1"/>
  <c r="AW471" i="1"/>
  <c r="AV471" i="1"/>
  <c r="V226" i="1"/>
  <c r="V227" i="1" s="1"/>
  <c r="V248" i="1"/>
  <c r="V550" i="1"/>
  <c r="V551" i="1"/>
  <c r="E24" i="326"/>
  <c r="AB226" i="1"/>
  <c r="AB248" i="1"/>
  <c r="AB550" i="1"/>
  <c r="AB551" i="1"/>
  <c r="R226" i="1"/>
  <c r="R248" i="1"/>
  <c r="R551" i="1"/>
  <c r="R550" i="1"/>
  <c r="I113" i="1"/>
  <c r="AD536" i="1"/>
  <c r="AD529" i="1"/>
  <c r="AH529" i="1"/>
  <c r="N226" i="1"/>
  <c r="N248" i="1"/>
  <c r="N551" i="1"/>
  <c r="N550" i="1"/>
  <c r="M11" i="194"/>
  <c r="AV36" i="1"/>
  <c r="AV19" i="1"/>
  <c r="Y211" i="1"/>
  <c r="AC211" i="1"/>
  <c r="Y218" i="1"/>
  <c r="AT455" i="1"/>
  <c r="V514" i="1"/>
  <c r="V533" i="1"/>
  <c r="E13" i="194"/>
  <c r="E30" i="194"/>
  <c r="AL247" i="1"/>
  <c r="AL254" i="1"/>
  <c r="AL261" i="1"/>
  <c r="AM261" i="1"/>
  <c r="AX246" i="1"/>
  <c r="U53" i="1"/>
  <c r="U59" i="1"/>
  <c r="U61" i="1"/>
  <c r="T35" i="1"/>
  <c r="T36" i="1"/>
  <c r="T34" i="1"/>
  <c r="X176" i="1"/>
  <c r="AB176" i="1"/>
  <c r="AU171" i="1"/>
  <c r="X181" i="1"/>
  <c r="Y181" i="1"/>
  <c r="X351" i="1"/>
  <c r="F13" i="194"/>
  <c r="F30" i="194"/>
  <c r="W38" i="1"/>
  <c r="W37" i="1"/>
  <c r="V36" i="1"/>
  <c r="M53" i="1"/>
  <c r="M61" i="1"/>
  <c r="M59" i="1"/>
  <c r="N40" i="1"/>
  <c r="N574" i="1"/>
  <c r="AU53" i="1"/>
  <c r="AU59" i="1"/>
  <c r="K59" i="1"/>
  <c r="K61" i="1"/>
  <c r="AW52" i="1"/>
  <c r="AX52" i="1"/>
  <c r="AS279" i="1"/>
  <c r="AS332" i="1"/>
  <c r="AS385" i="1"/>
  <c r="L53" i="1"/>
  <c r="I218" i="1"/>
  <c r="Z218" i="1"/>
  <c r="AV211" i="1"/>
  <c r="AW304" i="1"/>
  <c r="L533" i="1"/>
  <c r="L514" i="1"/>
  <c r="O536" i="1"/>
  <c r="O529" i="1"/>
  <c r="S529" i="1"/>
  <c r="O521" i="1"/>
  <c r="AE536" i="1"/>
  <c r="AE529" i="1"/>
  <c r="AE521" i="1"/>
  <c r="G226" i="1"/>
  <c r="G248" i="1"/>
  <c r="K24" i="326"/>
  <c r="AL550" i="1"/>
  <c r="AH551" i="1"/>
  <c r="AH550" i="1"/>
  <c r="I19" i="194"/>
  <c r="I31" i="194"/>
  <c r="I38" i="194" s="1"/>
  <c r="AB520" i="1"/>
  <c r="AB528" i="1"/>
  <c r="AB535" i="1"/>
  <c r="J19" i="194"/>
  <c r="J31" i="194"/>
  <c r="J38" i="194" s="1"/>
  <c r="AL172" i="1"/>
  <c r="AX170" i="1"/>
  <c r="AL175" i="1"/>
  <c r="AM180" i="1"/>
  <c r="AL180" i="1"/>
  <c r="AL350" i="1"/>
  <c r="P38" i="1"/>
  <c r="P37" i="1"/>
  <c r="AF35" i="1"/>
  <c r="AF34" i="1"/>
  <c r="N21" i="56"/>
  <c r="W35" i="1"/>
  <c r="AC53" i="1"/>
  <c r="AC61" i="1"/>
  <c r="AC59" i="1"/>
  <c r="AA23" i="1"/>
  <c r="AU61" i="1"/>
  <c r="AT61" i="1"/>
  <c r="AT59" i="1"/>
  <c r="AT53" i="1"/>
  <c r="AE53" i="1"/>
  <c r="N57" i="1"/>
  <c r="I10" i="326"/>
  <c r="I11" i="326" s="1"/>
  <c r="AF249" i="1"/>
  <c r="AO280" i="1"/>
  <c r="AO333" i="1"/>
  <c r="AU204" i="1"/>
  <c r="AU211" i="1" s="1"/>
  <c r="N211" i="1"/>
  <c r="R211" i="1"/>
  <c r="N218" i="1"/>
  <c r="O218" i="1"/>
  <c r="AT204" i="1"/>
  <c r="AT211" i="1" s="1"/>
  <c r="W211" i="1"/>
  <c r="I406" i="1"/>
  <c r="AU471" i="1"/>
  <c r="AB533" i="1"/>
  <c r="AB514" i="1"/>
  <c r="AS471" i="1"/>
  <c r="AU478" i="1"/>
  <c r="AQ478" i="1"/>
  <c r="AT488" i="1"/>
  <c r="H47" i="7"/>
  <c r="W226" i="1"/>
  <c r="W248" i="1"/>
  <c r="W550" i="1"/>
  <c r="W551" i="1"/>
  <c r="M226" i="1"/>
  <c r="M248" i="1"/>
  <c r="M550" i="1"/>
  <c r="M551" i="1"/>
  <c r="T226" i="1"/>
  <c r="T248" i="1"/>
  <c r="T551" i="1"/>
  <c r="T550" i="1"/>
  <c r="M235" i="1" l="1"/>
  <c r="M225" i="1"/>
  <c r="M242" i="1"/>
  <c r="V242" i="1"/>
  <c r="M11" i="56"/>
  <c r="E24" i="194"/>
  <c r="AC63" i="1"/>
  <c r="AC62" i="1"/>
  <c r="AC67" i="1"/>
  <c r="AG68" i="1" s="1"/>
  <c r="AC73" i="1"/>
  <c r="AG74" i="1" s="1"/>
  <c r="AC484" i="1"/>
  <c r="N11" i="7"/>
  <c r="M13" i="7"/>
  <c r="Q69" i="1"/>
  <c r="AX254" i="1"/>
  <c r="AX268" i="1"/>
  <c r="M13" i="194"/>
  <c r="M30" i="194"/>
  <c r="E10" i="326"/>
  <c r="E11" i="326" s="1"/>
  <c r="AB249" i="1"/>
  <c r="AB270" i="1"/>
  <c r="AV248" i="1"/>
  <c r="AB263" i="1"/>
  <c r="E20" i="326" s="1"/>
  <c r="AB256" i="1"/>
  <c r="E15" i="326" s="1"/>
  <c r="F263" i="1"/>
  <c r="F270" i="1"/>
  <c r="AG489" i="1"/>
  <c r="AH137" i="1"/>
  <c r="AH144" i="1"/>
  <c r="AR159" i="1"/>
  <c r="AR279" i="1"/>
  <c r="AR286" i="1" s="1"/>
  <c r="AR332" i="1"/>
  <c r="AR339" i="1" s="1"/>
  <c r="AR385" i="1"/>
  <c r="F20" i="7"/>
  <c r="F21" i="7"/>
  <c r="F8" i="2"/>
  <c r="G20" i="7"/>
  <c r="H10" i="326"/>
  <c r="H11" i="326" s="1"/>
  <c r="AE249" i="1"/>
  <c r="AE270" i="1"/>
  <c r="AE263" i="1"/>
  <c r="H20" i="326" s="1"/>
  <c r="AE256" i="1"/>
  <c r="H15" i="326" s="1"/>
  <c r="O186" i="1"/>
  <c r="O185" i="1"/>
  <c r="O234" i="1"/>
  <c r="O241" i="1"/>
  <c r="AU528" i="1"/>
  <c r="AU535" i="1"/>
  <c r="AV528" i="1"/>
  <c r="W580" i="1"/>
  <c r="W583" i="1" s="1"/>
  <c r="W586" i="1" s="1"/>
  <c r="W610" i="1"/>
  <c r="W613" i="1" s="1"/>
  <c r="AP137" i="1"/>
  <c r="AQ137" i="1"/>
  <c r="M249" i="1"/>
  <c r="M270" i="1"/>
  <c r="M263" i="1"/>
  <c r="M256" i="1"/>
  <c r="AS159" i="1"/>
  <c r="AB186" i="1"/>
  <c r="AB185" i="1"/>
  <c r="AB234" i="1"/>
  <c r="AV226" i="1"/>
  <c r="AB241" i="1"/>
  <c r="AB227" i="1"/>
  <c r="T113" i="1"/>
  <c r="W112" i="1"/>
  <c r="O21" i="194"/>
  <c r="O52" i="194"/>
  <c r="F225" i="1"/>
  <c r="F241" i="1"/>
  <c r="AG535" i="1"/>
  <c r="AG520" i="1"/>
  <c r="AG528" i="1"/>
  <c r="AG91" i="1"/>
  <c r="AG93" i="1" s="1"/>
  <c r="AG79" i="1"/>
  <c r="AG75" i="1"/>
  <c r="AG218" i="1"/>
  <c r="AG211" i="1"/>
  <c r="AD580" i="1"/>
  <c r="AD610" i="1"/>
  <c r="AV574" i="1"/>
  <c r="AH21" i="1"/>
  <c r="AH28" i="1"/>
  <c r="AP248" i="1"/>
  <c r="E270" i="1"/>
  <c r="E263" i="1"/>
  <c r="R113" i="1"/>
  <c r="AX550" i="1"/>
  <c r="AW550" i="1"/>
  <c r="AU34" i="1"/>
  <c r="AU36" i="1"/>
  <c r="AU37" i="1" s="1"/>
  <c r="L406" i="1"/>
  <c r="AE185" i="1"/>
  <c r="AE186" i="1"/>
  <c r="AE234" i="1"/>
  <c r="AE241" i="1"/>
  <c r="AE227" i="1"/>
  <c r="H11" i="56"/>
  <c r="X62" i="1"/>
  <c r="X67" i="1"/>
  <c r="X63" i="1"/>
  <c r="X73" i="1"/>
  <c r="X484" i="1"/>
  <c r="AB489" i="1" s="1"/>
  <c r="AM233" i="1"/>
  <c r="AM240" i="1"/>
  <c r="AX225" i="1"/>
  <c r="Q91" i="1"/>
  <c r="Q93" i="1" s="1"/>
  <c r="Q79" i="1"/>
  <c r="Q75" i="1"/>
  <c r="AB37" i="1"/>
  <c r="AB38" i="1"/>
  <c r="W42" i="1"/>
  <c r="W41" i="1"/>
  <c r="W61" i="1"/>
  <c r="AA41" i="1"/>
  <c r="W412" i="1"/>
  <c r="AT227" i="1"/>
  <c r="S75" i="1"/>
  <c r="S91" i="1"/>
  <c r="S93" i="1" s="1"/>
  <c r="S79" i="1"/>
  <c r="I30" i="326"/>
  <c r="I35" i="326"/>
  <c r="I25" i="326"/>
  <c r="AE580" i="1"/>
  <c r="AE583" i="1" s="1"/>
  <c r="AE586" i="1" s="1"/>
  <c r="AE610" i="1"/>
  <c r="AE613" i="1" s="1"/>
  <c r="W249" i="1"/>
  <c r="W263" i="1"/>
  <c r="W256" i="1"/>
  <c r="W270" i="1"/>
  <c r="K63" i="1"/>
  <c r="K67" i="1"/>
  <c r="K73" i="1"/>
  <c r="K484" i="1"/>
  <c r="V249" i="1"/>
  <c r="V263" i="1"/>
  <c r="V256" i="1"/>
  <c r="V270" i="1"/>
  <c r="AB355" i="1"/>
  <c r="X360" i="1"/>
  <c r="Y360" i="1"/>
  <c r="X355" i="1"/>
  <c r="P96" i="2"/>
  <c r="AG69" i="1"/>
  <c r="AG70" i="1"/>
  <c r="R21" i="1"/>
  <c r="R28" i="1"/>
  <c r="S28" i="1"/>
  <c r="V21" i="1"/>
  <c r="AR398" i="1"/>
  <c r="AR420" i="1"/>
  <c r="AS398" i="1"/>
  <c r="AR431" i="1"/>
  <c r="H11" i="13"/>
  <c r="E13" i="13"/>
  <c r="I11" i="13"/>
  <c r="E18" i="13"/>
  <c r="Q186" i="1"/>
  <c r="Q185" i="1"/>
  <c r="Q234" i="1"/>
  <c r="Q241" i="1"/>
  <c r="L482" i="1"/>
  <c r="V42" i="1"/>
  <c r="V41" i="1"/>
  <c r="V61" i="1"/>
  <c r="Z41" i="1"/>
  <c r="V412" i="1"/>
  <c r="AC448" i="1"/>
  <c r="Y453" i="1"/>
  <c r="Z458" i="1"/>
  <c r="Y458" i="1"/>
  <c r="J186" i="1"/>
  <c r="J185" i="1"/>
  <c r="J234" i="1"/>
  <c r="J241" i="1"/>
  <c r="H15" i="194"/>
  <c r="H20" i="194"/>
  <c r="H32" i="194"/>
  <c r="AE41" i="1"/>
  <c r="AE61" i="1"/>
  <c r="AE42" i="1"/>
  <c r="AE412" i="1"/>
  <c r="AT528" i="1"/>
  <c r="AT535" i="1"/>
  <c r="AU396" i="1"/>
  <c r="AU418" i="1"/>
  <c r="AQ62" i="1"/>
  <c r="AQ67" i="1"/>
  <c r="AQ73" i="1"/>
  <c r="AQ63" i="1"/>
  <c r="J63" i="1"/>
  <c r="J67" i="1"/>
  <c r="J73" i="1"/>
  <c r="J484" i="1"/>
  <c r="X113" i="1"/>
  <c r="AA112" i="1"/>
  <c r="F10" i="326"/>
  <c r="F11" i="326" s="1"/>
  <c r="AC249" i="1"/>
  <c r="AC64" i="1" s="1"/>
  <c r="AC270" i="1"/>
  <c r="AC263" i="1"/>
  <c r="F20" i="326" s="1"/>
  <c r="AC256" i="1"/>
  <c r="F15" i="326" s="1"/>
  <c r="AB113" i="1"/>
  <c r="AE112" i="1"/>
  <c r="AQ406" i="1"/>
  <c r="AS62" i="1"/>
  <c r="AS63" i="1"/>
  <c r="AS67" i="1"/>
  <c r="AS73" i="1"/>
  <c r="F33" i="2"/>
  <c r="AS34" i="1"/>
  <c r="AS36" i="1"/>
  <c r="AT34" i="1"/>
  <c r="V580" i="1"/>
  <c r="V583" i="1" s="1"/>
  <c r="V586" i="1" s="1"/>
  <c r="V610" i="1"/>
  <c r="V613" i="1" s="1"/>
  <c r="W185" i="1"/>
  <c r="W186" i="1"/>
  <c r="W241" i="1"/>
  <c r="W234" i="1"/>
  <c r="I25" i="194"/>
  <c r="I43" i="194"/>
  <c r="AR357" i="1"/>
  <c r="AS357" i="1"/>
  <c r="Q249" i="1"/>
  <c r="Q270" i="1"/>
  <c r="Q263" i="1"/>
  <c r="Q256" i="1"/>
  <c r="P63" i="1"/>
  <c r="P62" i="1"/>
  <c r="P73" i="1"/>
  <c r="T74" i="1" s="1"/>
  <c r="P67" i="1"/>
  <c r="P64" i="1"/>
  <c r="P484" i="1"/>
  <c r="I37" i="194"/>
  <c r="L68" i="1"/>
  <c r="L69" i="1"/>
  <c r="P249" i="1"/>
  <c r="AS248" i="1"/>
  <c r="P270" i="1"/>
  <c r="P263" i="1"/>
  <c r="P256" i="1"/>
  <c r="T534" i="1"/>
  <c r="T527" i="1"/>
  <c r="J28" i="1"/>
  <c r="K28" i="1"/>
  <c r="N21" i="1"/>
  <c r="AU339" i="1"/>
  <c r="AO482" i="1"/>
  <c r="AO494" i="1"/>
  <c r="AP489" i="1"/>
  <c r="M396" i="1"/>
  <c r="M418" i="1"/>
  <c r="Q396" i="1"/>
  <c r="Q429" i="1"/>
  <c r="M440" i="1"/>
  <c r="M429" i="1"/>
  <c r="Z137" i="1"/>
  <c r="Z144" i="1"/>
  <c r="AA144" i="1"/>
  <c r="AD137" i="1"/>
  <c r="AC186" i="1"/>
  <c r="AC185" i="1"/>
  <c r="AC234" i="1"/>
  <c r="AC241" i="1"/>
  <c r="AC227" i="1"/>
  <c r="AA448" i="1"/>
  <c r="AU448" i="1" s="1"/>
  <c r="W453" i="1"/>
  <c r="W458" i="1"/>
  <c r="X458" i="1"/>
  <c r="AT448" i="1"/>
  <c r="P527" i="1"/>
  <c r="P534" i="1"/>
  <c r="G15" i="194"/>
  <c r="G34" i="194" s="1"/>
  <c r="K41" i="194" s="1"/>
  <c r="G32" i="194"/>
  <c r="K39" i="194" s="1"/>
  <c r="AL176" i="1"/>
  <c r="AL181" i="1"/>
  <c r="AL351" i="1"/>
  <c r="I15" i="194"/>
  <c r="I20" i="194"/>
  <c r="I32" i="194"/>
  <c r="I39" i="194" s="1"/>
  <c r="P186" i="1"/>
  <c r="P185" i="1"/>
  <c r="AS226" i="1"/>
  <c r="P234" i="1"/>
  <c r="P241" i="1"/>
  <c r="I11" i="56"/>
  <c r="Y62" i="1"/>
  <c r="Y67" i="1"/>
  <c r="Y63" i="1"/>
  <c r="Y73" i="1"/>
  <c r="Y484" i="1"/>
  <c r="AU286" i="1"/>
  <c r="J11" i="56"/>
  <c r="Z62" i="1"/>
  <c r="Z67" i="1"/>
  <c r="Z63" i="1"/>
  <c r="Z73" i="1"/>
  <c r="Z484" i="1"/>
  <c r="M339" i="1"/>
  <c r="M346" i="1"/>
  <c r="Q339" i="1"/>
  <c r="F35" i="326"/>
  <c r="F25" i="326"/>
  <c r="F15" i="194"/>
  <c r="F34" i="194" s="1"/>
  <c r="F32" i="194"/>
  <c r="AV61" i="1"/>
  <c r="AV42" i="1"/>
  <c r="AV41" i="1"/>
  <c r="X356" i="1"/>
  <c r="X361" i="1"/>
  <c r="Y361" i="1"/>
  <c r="AB356" i="1"/>
  <c r="AD61" i="1"/>
  <c r="AD42" i="1"/>
  <c r="AD41" i="1"/>
  <c r="AD412" i="1"/>
  <c r="AH41" i="1"/>
  <c r="N30" i="194"/>
  <c r="H37" i="194"/>
  <c r="G35" i="326"/>
  <c r="G25" i="326"/>
  <c r="G36" i="326" s="1"/>
  <c r="AF263" i="1"/>
  <c r="I20" i="326" s="1"/>
  <c r="AU176" i="1"/>
  <c r="AU298" i="1"/>
  <c r="AU351" i="1"/>
  <c r="AV176" i="1"/>
  <c r="Q9" i="56"/>
  <c r="Q535" i="1"/>
  <c r="Q520" i="1"/>
  <c r="Q528" i="1"/>
  <c r="U528" i="1"/>
  <c r="AF257" i="1"/>
  <c r="I16" i="326" s="1"/>
  <c r="AF264" i="1"/>
  <c r="I21" i="326" s="1"/>
  <c r="AF271" i="1"/>
  <c r="O580" i="1"/>
  <c r="O583" i="1" s="1"/>
  <c r="O586" i="1" s="1"/>
  <c r="O610" i="1"/>
  <c r="O613" i="1" s="1"/>
  <c r="T177" i="1"/>
  <c r="T182" i="1"/>
  <c r="AT172" i="1"/>
  <c r="T299" i="1"/>
  <c r="T352" i="1"/>
  <c r="T387" i="1"/>
  <c r="T398" i="1" s="1"/>
  <c r="U182" i="1"/>
  <c r="AM171" i="1"/>
  <c r="AM303" i="1"/>
  <c r="K270" i="1"/>
  <c r="K263" i="1"/>
  <c r="K256" i="1"/>
  <c r="T482" i="1"/>
  <c r="T489" i="1"/>
  <c r="L79" i="1"/>
  <c r="L75" i="1"/>
  <c r="L91" i="1"/>
  <c r="L93" i="1" s="1"/>
  <c r="AH209" i="1"/>
  <c r="AH216" i="1"/>
  <c r="AH204" i="1"/>
  <c r="W227" i="1"/>
  <c r="L225" i="1"/>
  <c r="L235" i="1"/>
  <c r="L242" i="1"/>
  <c r="O227" i="1"/>
  <c r="M286" i="1"/>
  <c r="M293" i="1"/>
  <c r="Q286" i="1"/>
  <c r="AQ248" i="1"/>
  <c r="H263" i="1"/>
  <c r="H256" i="1"/>
  <c r="H270" i="1"/>
  <c r="AQ398" i="1"/>
  <c r="AQ431" i="1"/>
  <c r="AQ420" i="1"/>
  <c r="D43" i="194"/>
  <c r="G10" i="326"/>
  <c r="G11" i="326" s="1"/>
  <c r="AD249" i="1"/>
  <c r="AD270" i="1"/>
  <c r="AD263" i="1"/>
  <c r="G20" i="326" s="1"/>
  <c r="AD256" i="1"/>
  <c r="G15" i="326" s="1"/>
  <c r="N249" i="1"/>
  <c r="N270" i="1"/>
  <c r="N263" i="1"/>
  <c r="N256" i="1"/>
  <c r="AB534" i="1"/>
  <c r="AL33" i="1"/>
  <c r="AL255" i="1"/>
  <c r="AL262" i="1"/>
  <c r="AL269" i="1"/>
  <c r="R137" i="1"/>
  <c r="R144" i="1"/>
  <c r="V137" i="1"/>
  <c r="S144" i="1"/>
  <c r="J263" i="1"/>
  <c r="J256" i="1"/>
  <c r="J270" i="1"/>
  <c r="X177" i="1"/>
  <c r="AB177" i="1"/>
  <c r="X299" i="1"/>
  <c r="AU172" i="1"/>
  <c r="X182" i="1"/>
  <c r="X352" i="1"/>
  <c r="X387" i="1"/>
  <c r="Y182" i="1"/>
  <c r="AR304" i="1"/>
  <c r="AS304" i="1"/>
  <c r="N580" i="1"/>
  <c r="N583" i="1" s="1"/>
  <c r="N586" i="1" s="1"/>
  <c r="N610" i="1"/>
  <c r="N613" i="1" s="1"/>
  <c r="N35" i="326"/>
  <c r="N30" i="326"/>
  <c r="V528" i="1"/>
  <c r="V535" i="1"/>
  <c r="V520" i="1"/>
  <c r="S249" i="1"/>
  <c r="S270" i="1"/>
  <c r="S263" i="1"/>
  <c r="S256" i="1"/>
  <c r="AP398" i="1"/>
  <c r="AP431" i="1"/>
  <c r="AP420" i="1"/>
  <c r="O412" i="1"/>
  <c r="O41" i="1"/>
  <c r="O61" i="1"/>
  <c r="O42" i="1"/>
  <c r="S41" i="1"/>
  <c r="AT176" i="1"/>
  <c r="AT298" i="1"/>
  <c r="AT303" i="1" s="1"/>
  <c r="AT351" i="1"/>
  <c r="AT356" i="1" s="1"/>
  <c r="J10" i="326"/>
  <c r="J11" i="326" s="1"/>
  <c r="AG249" i="1"/>
  <c r="AG270" i="1"/>
  <c r="AG263" i="1"/>
  <c r="J20" i="326" s="1"/>
  <c r="AG256" i="1"/>
  <c r="J15" i="326" s="1"/>
  <c r="W528" i="1"/>
  <c r="W535" i="1"/>
  <c r="W520" i="1"/>
  <c r="AA528" i="1"/>
  <c r="J37" i="194"/>
  <c r="K186" i="1"/>
  <c r="K234" i="1"/>
  <c r="K185" i="1"/>
  <c r="K241" i="1"/>
  <c r="Z37" i="1"/>
  <c r="Z38" i="1"/>
  <c r="AA38" i="1"/>
  <c r="T62" i="1"/>
  <c r="I186" i="1"/>
  <c r="I185" i="1"/>
  <c r="I241" i="1"/>
  <c r="I234" i="1"/>
  <c r="I225" i="1"/>
  <c r="Z534" i="1"/>
  <c r="Z527" i="1"/>
  <c r="E126" i="2"/>
  <c r="F125" i="2"/>
  <c r="AO79" i="1"/>
  <c r="AO75" i="1"/>
  <c r="AP74" i="1"/>
  <c r="AO91" i="1"/>
  <c r="AO93" i="1" s="1"/>
  <c r="K225" i="1"/>
  <c r="K235" i="1"/>
  <c r="N227" i="1"/>
  <c r="AR227" i="1" s="1"/>
  <c r="AR235" i="1" s="1"/>
  <c r="K242" i="1"/>
  <c r="Z21" i="1"/>
  <c r="Z28" i="1"/>
  <c r="AA28" i="1"/>
  <c r="AD21" i="1"/>
  <c r="H225" i="1"/>
  <c r="H186" i="1"/>
  <c r="H241" i="1"/>
  <c r="H185" i="1"/>
  <c r="AQ226" i="1"/>
  <c r="H234" i="1"/>
  <c r="AF37" i="1"/>
  <c r="AT269" i="1"/>
  <c r="AU233" i="1"/>
  <c r="G23" i="7"/>
  <c r="AJ226" i="1"/>
  <c r="AF185" i="1"/>
  <c r="AF186" i="1"/>
  <c r="AF234" i="1"/>
  <c r="AF241" i="1"/>
  <c r="AF227" i="1"/>
  <c r="AD186" i="1"/>
  <c r="AD185" i="1"/>
  <c r="AD234" i="1"/>
  <c r="AD241" i="1"/>
  <c r="AD227" i="1"/>
  <c r="N186" i="1"/>
  <c r="N185" i="1"/>
  <c r="N234" i="1"/>
  <c r="N241" i="1"/>
  <c r="E15" i="194"/>
  <c r="E34" i="194" s="1"/>
  <c r="E32" i="194"/>
  <c r="AL355" i="1"/>
  <c r="AL360" i="1"/>
  <c r="AM360" i="1"/>
  <c r="AU175" i="1"/>
  <c r="AV175" i="1"/>
  <c r="AU350" i="1"/>
  <c r="AU297" i="1"/>
  <c r="M35" i="326"/>
  <c r="M30" i="326"/>
  <c r="AT396" i="1"/>
  <c r="S185" i="1"/>
  <c r="S186" i="1"/>
  <c r="S234" i="1"/>
  <c r="S241" i="1"/>
  <c r="AK356" i="1"/>
  <c r="AK361" i="1"/>
  <c r="AC37" i="1"/>
  <c r="AC38" i="1"/>
  <c r="AG185" i="1"/>
  <c r="AK226" i="1"/>
  <c r="AH226" i="1"/>
  <c r="AG186" i="1"/>
  <c r="AG234" i="1"/>
  <c r="AG241" i="1"/>
  <c r="AG227" i="1"/>
  <c r="U38" i="1"/>
  <c r="U37" i="1"/>
  <c r="J20" i="194"/>
  <c r="J15" i="194"/>
  <c r="J32" i="194"/>
  <c r="T75" i="1"/>
  <c r="T79" i="1"/>
  <c r="T91" i="1"/>
  <c r="T93" i="1" s="1"/>
  <c r="Z186" i="1"/>
  <c r="Z185" i="1"/>
  <c r="Z241" i="1"/>
  <c r="Z234" i="1"/>
  <c r="Z227" i="1"/>
  <c r="Q113" i="1"/>
  <c r="S112" i="1"/>
  <c r="N520" i="1"/>
  <c r="N528" i="1"/>
  <c r="N535" i="1"/>
  <c r="R528" i="1"/>
  <c r="I263" i="1"/>
  <c r="I256" i="1"/>
  <c r="I270" i="1"/>
  <c r="Z528" i="1"/>
  <c r="AH113" i="1"/>
  <c r="AO69" i="1"/>
  <c r="AO70" i="1"/>
  <c r="J225" i="1"/>
  <c r="X249" i="1"/>
  <c r="X64" i="1" s="1"/>
  <c r="AU248" i="1"/>
  <c r="X263" i="1"/>
  <c r="X256" i="1"/>
  <c r="X270" i="1"/>
  <c r="M17" i="7"/>
  <c r="N15" i="7"/>
  <c r="R67" i="1"/>
  <c r="R63" i="1"/>
  <c r="R73" i="1"/>
  <c r="R62" i="1"/>
  <c r="R484" i="1"/>
  <c r="E35" i="326"/>
  <c r="E25" i="326"/>
  <c r="E36" i="326" s="1"/>
  <c r="T361" i="1"/>
  <c r="U361" i="1"/>
  <c r="T356" i="1"/>
  <c r="G263" i="1"/>
  <c r="G270" i="1"/>
  <c r="T38" i="1"/>
  <c r="T37" i="1"/>
  <c r="AT339" i="1"/>
  <c r="P408" i="1"/>
  <c r="AS410" i="1"/>
  <c r="J30" i="326"/>
  <c r="J35" i="326"/>
  <c r="J25" i="326"/>
  <c r="AQ396" i="1"/>
  <c r="AQ429" i="1"/>
  <c r="AQ418" i="1"/>
  <c r="Z249" i="1"/>
  <c r="Z263" i="1"/>
  <c r="Z256" i="1"/>
  <c r="Z270" i="1"/>
  <c r="I20" i="7"/>
  <c r="I21" i="7"/>
  <c r="I8" i="2"/>
  <c r="X186" i="1"/>
  <c r="X185" i="1"/>
  <c r="AU226" i="1"/>
  <c r="X227" i="1"/>
  <c r="X241" i="1"/>
  <c r="X234" i="1"/>
  <c r="AE37" i="1"/>
  <c r="AE38" i="1"/>
  <c r="AG62" i="1"/>
  <c r="R11" i="56"/>
  <c r="E22" i="13"/>
  <c r="J24" i="194"/>
  <c r="AH67" i="1"/>
  <c r="AH63" i="1"/>
  <c r="AH73" i="1"/>
  <c r="AH62" i="1"/>
  <c r="AH484" i="1"/>
  <c r="L9" i="56"/>
  <c r="U113" i="1"/>
  <c r="K30" i="326"/>
  <c r="K35" i="326"/>
  <c r="K25" i="326"/>
  <c r="N61" i="1"/>
  <c r="N42" i="1"/>
  <c r="N41" i="1"/>
  <c r="N412" i="1"/>
  <c r="R41" i="1"/>
  <c r="L35" i="326"/>
  <c r="L30" i="326"/>
  <c r="G225" i="1"/>
  <c r="G241" i="1"/>
  <c r="M63" i="1"/>
  <c r="M62" i="1"/>
  <c r="M73" i="1"/>
  <c r="M67" i="1"/>
  <c r="M484" i="1"/>
  <c r="R249" i="1"/>
  <c r="R64" i="1" s="1"/>
  <c r="R270" i="1"/>
  <c r="R263" i="1"/>
  <c r="R256" i="1"/>
  <c r="P11" i="56"/>
  <c r="H24" i="194"/>
  <c r="AF64" i="1"/>
  <c r="AF63" i="1"/>
  <c r="AF62" i="1"/>
  <c r="AF67" i="1"/>
  <c r="AF73" i="1"/>
  <c r="AF484" i="1"/>
  <c r="AT286" i="1"/>
  <c r="J22" i="2"/>
  <c r="J36" i="7"/>
  <c r="J27" i="7" s="1"/>
  <c r="N339" i="1"/>
  <c r="N346" i="1"/>
  <c r="O346" i="1"/>
  <c r="R339" i="1"/>
  <c r="G37" i="2"/>
  <c r="F37" i="2"/>
  <c r="AF527" i="1"/>
  <c r="AF534" i="1"/>
  <c r="AM318" i="1"/>
  <c r="Y249" i="1"/>
  <c r="Y64" i="1" s="1"/>
  <c r="Y263" i="1"/>
  <c r="Y256" i="1"/>
  <c r="Y270" i="1"/>
  <c r="AW396" i="1"/>
  <c r="AW429" i="1"/>
  <c r="AW418" i="1"/>
  <c r="AX396" i="1"/>
  <c r="AX429" i="1"/>
  <c r="H30" i="326"/>
  <c r="H35" i="326"/>
  <c r="H25" i="326"/>
  <c r="AM247" i="1"/>
  <c r="AX245" i="1"/>
  <c r="AM253" i="1"/>
  <c r="AM260" i="1"/>
  <c r="AP21" i="1"/>
  <c r="AQ21" i="1"/>
  <c r="H67" i="1"/>
  <c r="H63" i="1"/>
  <c r="H73" i="1"/>
  <c r="L74" i="1" s="1"/>
  <c r="H484" i="1"/>
  <c r="L489" i="1" s="1"/>
  <c r="Y113" i="1"/>
  <c r="AF256" i="1"/>
  <c r="I15" i="326" s="1"/>
  <c r="AV418" i="1"/>
  <c r="AV429" i="1"/>
  <c r="AV396" i="1"/>
  <c r="S69" i="1"/>
  <c r="S70" i="1"/>
  <c r="K144" i="1"/>
  <c r="J144" i="1"/>
  <c r="N137" i="1"/>
  <c r="AF270" i="1"/>
  <c r="V185" i="1"/>
  <c r="V186" i="1"/>
  <c r="V234" i="1"/>
  <c r="V241" i="1"/>
  <c r="T249" i="1"/>
  <c r="T256" i="1"/>
  <c r="AT248" i="1"/>
  <c r="T270" i="1"/>
  <c r="T263" i="1"/>
  <c r="AE528" i="1"/>
  <c r="AE535" i="1"/>
  <c r="AE520" i="1"/>
  <c r="D7" i="92" a="1"/>
  <c r="E11" i="56"/>
  <c r="U67" i="1"/>
  <c r="U63" i="1"/>
  <c r="U64" i="1"/>
  <c r="U73" i="1"/>
  <c r="U62" i="1"/>
  <c r="U484" i="1"/>
  <c r="R186" i="1"/>
  <c r="R185" i="1"/>
  <c r="R234" i="1"/>
  <c r="R241" i="1"/>
  <c r="L527" i="1"/>
  <c r="L534" i="1"/>
  <c r="U249" i="1"/>
  <c r="U256" i="1"/>
  <c r="U270" i="1"/>
  <c r="U263" i="1"/>
  <c r="AX171" i="1"/>
  <c r="AB74" i="1"/>
  <c r="AB79" i="1"/>
  <c r="AB75" i="1"/>
  <c r="AB91" i="1"/>
  <c r="AB93" i="1" s="1"/>
  <c r="R396" i="1"/>
  <c r="R429" i="1"/>
  <c r="O440" i="1"/>
  <c r="N440" i="1"/>
  <c r="N418" i="1"/>
  <c r="N396" i="1"/>
  <c r="N429" i="1"/>
  <c r="AR62" i="1"/>
  <c r="AR67" i="1"/>
  <c r="AR73" i="1"/>
  <c r="AR63" i="1"/>
  <c r="E33" i="2"/>
  <c r="T69" i="1"/>
  <c r="T68" i="1"/>
  <c r="T70" i="1"/>
  <c r="AK119" i="1"/>
  <c r="Q482" i="1"/>
  <c r="Y185" i="1"/>
  <c r="Y186" i="1"/>
  <c r="Y241" i="1"/>
  <c r="Y234" i="1"/>
  <c r="Y227" i="1"/>
  <c r="AW339" i="1"/>
  <c r="AX339" i="1"/>
  <c r="AW253" i="1"/>
  <c r="AW267" i="1"/>
  <c r="BA245" i="1"/>
  <c r="I67" i="1"/>
  <c r="I63" i="1"/>
  <c r="I73" i="1"/>
  <c r="I484" i="1"/>
  <c r="M186" i="1"/>
  <c r="M185" i="1"/>
  <c r="M234" i="1"/>
  <c r="M241" i="1"/>
  <c r="X520" i="1"/>
  <c r="X528" i="1"/>
  <c r="X535" i="1"/>
  <c r="AU455" i="1"/>
  <c r="I25" i="7"/>
  <c r="I28" i="7"/>
  <c r="I29" i="7" s="1"/>
  <c r="I24" i="7"/>
  <c r="I50" i="7"/>
  <c r="AT63" i="1"/>
  <c r="AT62" i="1"/>
  <c r="AT67" i="1"/>
  <c r="AT73" i="1"/>
  <c r="G33" i="2"/>
  <c r="AS396" i="1"/>
  <c r="J13" i="216"/>
  <c r="Z13" i="216"/>
  <c r="K13" i="216"/>
  <c r="W13" i="216"/>
  <c r="L13" i="216"/>
  <c r="M13" i="216"/>
  <c r="N13" i="216"/>
  <c r="O13" i="216"/>
  <c r="P13" i="216"/>
  <c r="Q13" i="216"/>
  <c r="R13" i="216"/>
  <c r="G13" i="216"/>
  <c r="S13" i="216"/>
  <c r="T13" i="216"/>
  <c r="E13" i="216"/>
  <c r="U13" i="216"/>
  <c r="F13" i="216"/>
  <c r="V13" i="216"/>
  <c r="H13" i="216"/>
  <c r="X13" i="216"/>
  <c r="I13" i="216"/>
  <c r="Y13" i="216"/>
  <c r="L249" i="1"/>
  <c r="L270" i="1"/>
  <c r="AR248" i="1"/>
  <c r="L263" i="1"/>
  <c r="L256" i="1"/>
  <c r="U185" i="1"/>
  <c r="U186" i="1"/>
  <c r="U241" i="1"/>
  <c r="U234" i="1"/>
  <c r="N21" i="194"/>
  <c r="N52" i="194"/>
  <c r="N293" i="1"/>
  <c r="N286" i="1"/>
  <c r="R286" i="1"/>
  <c r="O293" i="1"/>
  <c r="M406" i="1"/>
  <c r="H20" i="7"/>
  <c r="H21" i="7"/>
  <c r="H8" i="2"/>
  <c r="H9" i="2" s="1"/>
  <c r="H25" i="7"/>
  <c r="J24" i="7"/>
  <c r="J28" i="7"/>
  <c r="J29" i="7" s="1"/>
  <c r="J50" i="7"/>
  <c r="Q62" i="1"/>
  <c r="AW286" i="1"/>
  <c r="AX286" i="1"/>
  <c r="L9" i="326"/>
  <c r="AI33" i="1"/>
  <c r="AI255" i="1"/>
  <c r="L14" i="326" s="1"/>
  <c r="M14" i="326" s="1"/>
  <c r="N14" i="326" s="1"/>
  <c r="AI262" i="1"/>
  <c r="L19" i="326" s="1"/>
  <c r="M19" i="326" s="1"/>
  <c r="N19" i="326" s="1"/>
  <c r="AI269" i="1"/>
  <c r="AJ262" i="1"/>
  <c r="AW247" i="1"/>
  <c r="K11" i="56"/>
  <c r="L16" i="56" s="1"/>
  <c r="AA64" i="1"/>
  <c r="AA62" i="1"/>
  <c r="AA67" i="1"/>
  <c r="AA63" i="1"/>
  <c r="AA73" i="1"/>
  <c r="AA484" i="1"/>
  <c r="N33" i="194"/>
  <c r="AS418" i="1"/>
  <c r="AS429" i="1"/>
  <c r="D13" i="13"/>
  <c r="F18" i="13"/>
  <c r="G18" i="13"/>
  <c r="N31" i="194"/>
  <c r="O528" i="1"/>
  <c r="O520" i="1"/>
  <c r="O535" i="1"/>
  <c r="S528" i="1"/>
  <c r="E225" i="1"/>
  <c r="E241" i="1"/>
  <c r="AP226" i="1"/>
  <c r="U242" i="1"/>
  <c r="T185" i="1"/>
  <c r="T186" i="1"/>
  <c r="AT226" i="1"/>
  <c r="T241" i="1"/>
  <c r="T234" i="1"/>
  <c r="AX175" i="1"/>
  <c r="AX297" i="1"/>
  <c r="AX302" i="1" s="1"/>
  <c r="AX350" i="1"/>
  <c r="AX355" i="1" s="1"/>
  <c r="V38" i="1"/>
  <c r="V37" i="1"/>
  <c r="Y520" i="1"/>
  <c r="Y528" i="1"/>
  <c r="AC528" i="1"/>
  <c r="Y535" i="1"/>
  <c r="AK387" i="1"/>
  <c r="AK177" i="1"/>
  <c r="AK182" i="1"/>
  <c r="AK299" i="1"/>
  <c r="AK352" i="1"/>
  <c r="AA249" i="1"/>
  <c r="AA270" i="1"/>
  <c r="AA263" i="1"/>
  <c r="AA256" i="1"/>
  <c r="AU63" i="1"/>
  <c r="AU62" i="1"/>
  <c r="AU67" i="1"/>
  <c r="AU73" i="1"/>
  <c r="H33" i="2"/>
  <c r="AL387" i="1"/>
  <c r="AL177" i="1"/>
  <c r="AL182" i="1"/>
  <c r="AL299" i="1"/>
  <c r="AL352" i="1"/>
  <c r="AS339" i="1"/>
  <c r="AV37" i="1"/>
  <c r="K22" i="2"/>
  <c r="L12" i="2"/>
  <c r="K36" i="7"/>
  <c r="K27" i="7" s="1"/>
  <c r="L186" i="1"/>
  <c r="L234" i="1"/>
  <c r="L185" i="1"/>
  <c r="AR226" i="1"/>
  <c r="L241" i="1"/>
  <c r="AA185" i="1"/>
  <c r="AA186" i="1"/>
  <c r="AA234" i="1"/>
  <c r="AA241" i="1"/>
  <c r="AA227" i="1"/>
  <c r="AB68" i="1"/>
  <c r="AB70" i="1"/>
  <c r="AB69" i="1"/>
  <c r="S482" i="1"/>
  <c r="O249" i="1"/>
  <c r="O270" i="1"/>
  <c r="O263" i="1"/>
  <c r="O256" i="1"/>
  <c r="AV34" i="1"/>
  <c r="D15" i="194"/>
  <c r="D34" i="194" s="1"/>
  <c r="D32" i="194"/>
  <c r="AT429" i="1"/>
  <c r="AD527" i="1"/>
  <c r="AD534" i="1"/>
  <c r="I9" i="2" l="1"/>
  <c r="AU453" i="1"/>
  <c r="H18" i="216"/>
  <c r="H14" i="216"/>
  <c r="H15" i="216" s="1"/>
  <c r="AB82" i="1"/>
  <c r="AB84" i="1" s="1"/>
  <c r="AB88" i="1"/>
  <c r="V187" i="1"/>
  <c r="V190" i="1"/>
  <c r="V195" i="1"/>
  <c r="V365" i="1"/>
  <c r="V149" i="1"/>
  <c r="P9" i="56"/>
  <c r="R482" i="1"/>
  <c r="Z149" i="1"/>
  <c r="Z190" i="1"/>
  <c r="Z195" i="1"/>
  <c r="Z187" i="1"/>
  <c r="Z365" i="1"/>
  <c r="AK185" i="1"/>
  <c r="AK248" i="1"/>
  <c r="AK228" i="1"/>
  <c r="AK227" i="1"/>
  <c r="AK241" i="1"/>
  <c r="AK186" i="1"/>
  <c r="K149" i="1"/>
  <c r="K187" i="1"/>
  <c r="K195" i="1"/>
  <c r="K365" i="1"/>
  <c r="L82" i="1"/>
  <c r="L84" i="1" s="1"/>
  <c r="L88" i="1"/>
  <c r="AU303" i="1"/>
  <c r="AV303" i="1"/>
  <c r="J9" i="56"/>
  <c r="J16" i="56"/>
  <c r="I22" i="194"/>
  <c r="I34" i="194"/>
  <c r="I41" i="194" s="1"/>
  <c r="W191" i="1"/>
  <c r="W196" i="1"/>
  <c r="W366" i="1"/>
  <c r="W150" i="1"/>
  <c r="K482" i="1"/>
  <c r="S99" i="1"/>
  <c r="S95" i="1"/>
  <c r="S96" i="1"/>
  <c r="AE187" i="1"/>
  <c r="AE190" i="1"/>
  <c r="AE195" i="1"/>
  <c r="AE365" i="1"/>
  <c r="AE149" i="1"/>
  <c r="F223" i="1"/>
  <c r="F240" i="1"/>
  <c r="M264" i="1"/>
  <c r="M271" i="1"/>
  <c r="O11" i="7"/>
  <c r="N13" i="7"/>
  <c r="AA149" i="1"/>
  <c r="AA187" i="1"/>
  <c r="AA190" i="1"/>
  <c r="AA195" i="1"/>
  <c r="AA365" i="1"/>
  <c r="H38" i="2"/>
  <c r="H48" i="2"/>
  <c r="H51" i="2"/>
  <c r="H106" i="2" s="1"/>
  <c r="H27" i="2"/>
  <c r="H43" i="2"/>
  <c r="H96" i="2"/>
  <c r="AP185" i="1"/>
  <c r="AP186" i="1"/>
  <c r="AP234" i="1"/>
  <c r="V18" i="216"/>
  <c r="V14" i="216"/>
  <c r="V15" i="216" s="1"/>
  <c r="K18" i="216"/>
  <c r="K14" i="216"/>
  <c r="K15" i="216" s="1"/>
  <c r="E27" i="2"/>
  <c r="E29" i="2" s="1"/>
  <c r="E51" i="2"/>
  <c r="E106" i="2" s="1"/>
  <c r="E31" i="2"/>
  <c r="E43" i="2"/>
  <c r="E48" i="2"/>
  <c r="E96" i="2"/>
  <c r="H69" i="1"/>
  <c r="N410" i="1"/>
  <c r="AR412" i="1"/>
  <c r="AH69" i="1"/>
  <c r="Z150" i="1"/>
  <c r="Z196" i="1"/>
  <c r="Z191" i="1"/>
  <c r="Z366" i="1"/>
  <c r="AG187" i="1"/>
  <c r="AG190" i="1"/>
  <c r="AG195" i="1"/>
  <c r="AG365" i="1"/>
  <c r="AG149" i="1"/>
  <c r="AU302" i="1"/>
  <c r="AV302" i="1"/>
  <c r="AQ234" i="1"/>
  <c r="AO82" i="1"/>
  <c r="AO84" i="1" s="1"/>
  <c r="AP85" i="1" s="1"/>
  <c r="AO88" i="1"/>
  <c r="AQ256" i="1"/>
  <c r="AQ270" i="1"/>
  <c r="AL356" i="1"/>
  <c r="AL361" i="1"/>
  <c r="AC149" i="1"/>
  <c r="AC187" i="1"/>
  <c r="AC190" i="1"/>
  <c r="AC195" i="1"/>
  <c r="AC365" i="1"/>
  <c r="P70" i="1"/>
  <c r="P69" i="1"/>
  <c r="P68" i="1"/>
  <c r="W187" i="1"/>
  <c r="W195" i="1"/>
  <c r="W190" i="1"/>
  <c r="W365" i="1"/>
  <c r="W149" i="1"/>
  <c r="AZ112" i="1"/>
  <c r="AZ113" i="1" s="1"/>
  <c r="AQ79" i="1"/>
  <c r="AQ75" i="1"/>
  <c r="AQ74" i="1"/>
  <c r="AQ91" i="1"/>
  <c r="AQ93" i="1" s="1"/>
  <c r="K79" i="1"/>
  <c r="K82" i="1" s="1"/>
  <c r="K84" i="1" s="1"/>
  <c r="K75" i="1"/>
  <c r="K91" i="1"/>
  <c r="K93" i="1" s="1"/>
  <c r="AX233" i="1"/>
  <c r="K23" i="7"/>
  <c r="AC489" i="1"/>
  <c r="F18" i="216"/>
  <c r="F14" i="216"/>
  <c r="F15" i="216" s="1"/>
  <c r="J149" i="1"/>
  <c r="J195" i="1"/>
  <c r="J187" i="1"/>
  <c r="J365" i="1"/>
  <c r="AD196" i="1"/>
  <c r="AD191" i="1"/>
  <c r="AD366" i="1"/>
  <c r="AD150" i="1"/>
  <c r="F36" i="326"/>
  <c r="AS37" i="1"/>
  <c r="AT37" i="1"/>
  <c r="Q149" i="1"/>
  <c r="Q187" i="1"/>
  <c r="Q190" i="1"/>
  <c r="Q195" i="1"/>
  <c r="Q365" i="1"/>
  <c r="W410" i="1"/>
  <c r="X79" i="1"/>
  <c r="X75" i="1"/>
  <c r="X91" i="1"/>
  <c r="X93" i="1" s="1"/>
  <c r="X74" i="1"/>
  <c r="AR429" i="1"/>
  <c r="AR418" i="1"/>
  <c r="AR396" i="1"/>
  <c r="AV249" i="1"/>
  <c r="AB257" i="1"/>
  <c r="E16" i="326" s="1"/>
  <c r="AB264" i="1"/>
  <c r="E21" i="326" s="1"/>
  <c r="AB271" i="1"/>
  <c r="AB64" i="1"/>
  <c r="AA196" i="1"/>
  <c r="AA191" i="1"/>
  <c r="AA366" i="1"/>
  <c r="AA150" i="1"/>
  <c r="AK409" i="1"/>
  <c r="AK398" i="1"/>
  <c r="AD149" i="1"/>
  <c r="AD187" i="1"/>
  <c r="AD190" i="1"/>
  <c r="AD195" i="1"/>
  <c r="AD365" i="1"/>
  <c r="Y482" i="1"/>
  <c r="Y489" i="1"/>
  <c r="I22" i="13"/>
  <c r="H22" i="13"/>
  <c r="E24" i="13"/>
  <c r="R75" i="1"/>
  <c r="R91" i="1"/>
  <c r="R93" i="1" s="1"/>
  <c r="R79" i="1"/>
  <c r="N264" i="1"/>
  <c r="N271" i="1"/>
  <c r="Y235" i="1"/>
  <c r="Y242" i="1"/>
  <c r="AE527" i="1"/>
  <c r="AE534" i="1"/>
  <c r="N41" i="326"/>
  <c r="N42" i="326" s="1"/>
  <c r="N25" i="326" s="1"/>
  <c r="L41" i="326"/>
  <c r="L42" i="326" s="1"/>
  <c r="L25" i="326" s="1"/>
  <c r="K31" i="326"/>
  <c r="M41" i="326"/>
  <c r="M42" i="326" s="1"/>
  <c r="K36" i="326"/>
  <c r="M25" i="326"/>
  <c r="R70" i="1"/>
  <c r="R69" i="1"/>
  <c r="O264" i="1"/>
  <c r="O271" i="1"/>
  <c r="L150" i="1"/>
  <c r="L196" i="1"/>
  <c r="AR186" i="1"/>
  <c r="L191" i="1"/>
  <c r="L366" i="1"/>
  <c r="O527" i="1"/>
  <c r="O534" i="1"/>
  <c r="S527" i="1"/>
  <c r="AW33" i="1"/>
  <c r="AW34" i="1" s="1"/>
  <c r="BA247" i="1"/>
  <c r="AW255" i="1"/>
  <c r="AW269" i="1"/>
  <c r="J19" i="7"/>
  <c r="U191" i="1"/>
  <c r="U196" i="1"/>
  <c r="U366" i="1"/>
  <c r="U150" i="1"/>
  <c r="S18" i="216"/>
  <c r="S14" i="216"/>
  <c r="S15" i="216" s="1"/>
  <c r="AT74" i="1"/>
  <c r="AT91" i="1"/>
  <c r="AT93" i="1" s="1"/>
  <c r="AT79" i="1"/>
  <c r="AT75" i="1"/>
  <c r="U264" i="1"/>
  <c r="U271" i="1"/>
  <c r="U257" i="1"/>
  <c r="M68" i="1"/>
  <c r="M69" i="1"/>
  <c r="M70" i="1"/>
  <c r="N17" i="7"/>
  <c r="O15" i="7"/>
  <c r="J39" i="194"/>
  <c r="I223" i="1"/>
  <c r="I233" i="1"/>
  <c r="I240" i="1"/>
  <c r="N37" i="194"/>
  <c r="O37" i="194"/>
  <c r="Y70" i="1"/>
  <c r="Y69" i="1"/>
  <c r="Y68" i="1"/>
  <c r="AC257" i="1"/>
  <c r="F16" i="326" s="1"/>
  <c r="AC264" i="1"/>
  <c r="F21" i="326" s="1"/>
  <c r="AC271" i="1"/>
  <c r="Q196" i="1"/>
  <c r="Q191" i="1"/>
  <c r="Q366" i="1"/>
  <c r="Q150" i="1"/>
  <c r="Q96" i="2"/>
  <c r="AV227" i="1"/>
  <c r="AB235" i="1"/>
  <c r="AB242" i="1"/>
  <c r="AL409" i="1"/>
  <c r="AL398" i="1"/>
  <c r="U69" i="1"/>
  <c r="U68" i="1"/>
  <c r="U70" i="1"/>
  <c r="AQ69" i="1"/>
  <c r="AQ68" i="1"/>
  <c r="AD613" i="1"/>
  <c r="AV613" i="1" s="1"/>
  <c r="AV610" i="1"/>
  <c r="R9" i="56"/>
  <c r="R14" i="56" s="1"/>
  <c r="R16" i="56"/>
  <c r="AD583" i="1"/>
  <c r="AV580" i="1"/>
  <c r="G38" i="2"/>
  <c r="G48" i="2"/>
  <c r="G43" i="2"/>
  <c r="G31" i="2"/>
  <c r="G51" i="2"/>
  <c r="G96" i="2"/>
  <c r="G27" i="2"/>
  <c r="M489" i="1"/>
  <c r="M482" i="1"/>
  <c r="H223" i="1"/>
  <c r="H233" i="1"/>
  <c r="H240" i="1"/>
  <c r="AQ225" i="1"/>
  <c r="G14" i="216"/>
  <c r="G15" i="216" s="1"/>
  <c r="G18" i="216"/>
  <c r="AT68" i="1"/>
  <c r="AT69" i="1"/>
  <c r="Y196" i="1"/>
  <c r="Y191" i="1"/>
  <c r="Y366" i="1"/>
  <c r="Y150" i="1"/>
  <c r="AX253" i="1"/>
  <c r="AX267" i="1"/>
  <c r="M91" i="1"/>
  <c r="M93" i="1" s="1"/>
  <c r="M74" i="1"/>
  <c r="M79" i="1"/>
  <c r="M75" i="1"/>
  <c r="Z264" i="1"/>
  <c r="Z271" i="1"/>
  <c r="Z257" i="1"/>
  <c r="J22" i="194"/>
  <c r="J34" i="194"/>
  <c r="J41" i="194" s="1"/>
  <c r="AD257" i="1"/>
  <c r="G16" i="326" s="1"/>
  <c r="AD264" i="1"/>
  <c r="G21" i="326" s="1"/>
  <c r="AD271" i="1"/>
  <c r="F51" i="2"/>
  <c r="F48" i="2"/>
  <c r="F38" i="2"/>
  <c r="F43" i="2"/>
  <c r="F31" i="2"/>
  <c r="F27" i="2"/>
  <c r="F96" i="2"/>
  <c r="G11" i="56"/>
  <c r="H16" i="56" s="1"/>
  <c r="W62" i="1"/>
  <c r="W64" i="1"/>
  <c r="W67" i="1"/>
  <c r="W63" i="1"/>
  <c r="W73" i="1"/>
  <c r="W484" i="1"/>
  <c r="X69" i="1"/>
  <c r="X68" i="1"/>
  <c r="X70" i="1"/>
  <c r="E26" i="194"/>
  <c r="E43" i="194"/>
  <c r="J196" i="1"/>
  <c r="J366" i="1"/>
  <c r="J150" i="1"/>
  <c r="W616" i="1"/>
  <c r="W620" i="1" s="1"/>
  <c r="W588" i="1"/>
  <c r="W589" i="1"/>
  <c r="W592" i="1"/>
  <c r="W593" i="1"/>
  <c r="T18" i="216"/>
  <c r="T14" i="216"/>
  <c r="T15" i="216" s="1"/>
  <c r="X534" i="1"/>
  <c r="X527" i="1"/>
  <c r="W534" i="1"/>
  <c r="W527" i="1"/>
  <c r="AA527" i="1"/>
  <c r="N38" i="194"/>
  <c r="O38" i="194"/>
  <c r="R18" i="216"/>
  <c r="R14" i="216"/>
  <c r="R15" i="216" s="1"/>
  <c r="AV412" i="1"/>
  <c r="I9" i="56"/>
  <c r="I14" i="56" s="1"/>
  <c r="I16" i="56"/>
  <c r="AT453" i="1"/>
  <c r="Q257" i="1"/>
  <c r="Q264" i="1"/>
  <c r="Q64" i="1"/>
  <c r="AS74" i="1"/>
  <c r="AS79" i="1"/>
  <c r="AS75" i="1"/>
  <c r="AS91" i="1"/>
  <c r="AS93" i="1" s="1"/>
  <c r="AA113" i="1"/>
  <c r="W264" i="1"/>
  <c r="W271" i="1"/>
  <c r="W257" i="1"/>
  <c r="AV234" i="1"/>
  <c r="I42" i="7"/>
  <c r="M15" i="194"/>
  <c r="M34" i="194" s="1"/>
  <c r="M32" i="194"/>
  <c r="M9" i="56"/>
  <c r="M14" i="56" s="1"/>
  <c r="M16" i="56"/>
  <c r="AA74" i="1"/>
  <c r="AA79" i="1"/>
  <c r="AA75" i="1"/>
  <c r="AA91" i="1"/>
  <c r="AA93" i="1" s="1"/>
  <c r="J26" i="194"/>
  <c r="J25" i="194"/>
  <c r="J43" i="194"/>
  <c r="K150" i="1"/>
  <c r="K196" i="1"/>
  <c r="K366" i="1"/>
  <c r="K69" i="1"/>
  <c r="J18" i="216"/>
  <c r="J14" i="216"/>
  <c r="J15" i="216" s="1"/>
  <c r="E18" i="216"/>
  <c r="E14" i="216"/>
  <c r="E15" i="216" s="1"/>
  <c r="AU484" i="1"/>
  <c r="X482" i="1"/>
  <c r="X489" i="1"/>
  <c r="L36" i="7"/>
  <c r="L27" i="7" s="1"/>
  <c r="M12" i="2"/>
  <c r="M187" i="1"/>
  <c r="M190" i="1"/>
  <c r="M195" i="1"/>
  <c r="M365" i="1"/>
  <c r="M149" i="1"/>
  <c r="Y195" i="1"/>
  <c r="Y187" i="1"/>
  <c r="Y190" i="1"/>
  <c r="Y365" i="1"/>
  <c r="Y149" i="1"/>
  <c r="AM33" i="1"/>
  <c r="AM255" i="1"/>
  <c r="AM262" i="1"/>
  <c r="AM269" i="1"/>
  <c r="AF489" i="1"/>
  <c r="AF150" i="1"/>
  <c r="AF196" i="1"/>
  <c r="AF191" i="1"/>
  <c r="AF366" i="1"/>
  <c r="Q18" i="216"/>
  <c r="Q14" i="216"/>
  <c r="Q15" i="216" s="1"/>
  <c r="M196" i="1"/>
  <c r="M191" i="1"/>
  <c r="M366" i="1"/>
  <c r="M150" i="1"/>
  <c r="Q487" i="1"/>
  <c r="H31" i="326"/>
  <c r="H36" i="326"/>
  <c r="AF91" i="1"/>
  <c r="AF74" i="1"/>
  <c r="AF79" i="1"/>
  <c r="AF75" i="1"/>
  <c r="M64" i="1"/>
  <c r="N527" i="1"/>
  <c r="N534" i="1"/>
  <c r="R527" i="1"/>
  <c r="S196" i="1"/>
  <c r="S191" i="1"/>
  <c r="S366" i="1"/>
  <c r="S150" i="1"/>
  <c r="AF187" i="1"/>
  <c r="AF190" i="1"/>
  <c r="AF195" i="1"/>
  <c r="AF365" i="1"/>
  <c r="AF149" i="1"/>
  <c r="I195" i="1"/>
  <c r="I187" i="1"/>
  <c r="I365" i="1"/>
  <c r="I149" i="1"/>
  <c r="L223" i="1"/>
  <c r="L233" i="1"/>
  <c r="L269" i="1"/>
  <c r="L240" i="1"/>
  <c r="AS256" i="1"/>
  <c r="AS270" i="1"/>
  <c r="AS70" i="1"/>
  <c r="AS68" i="1"/>
  <c r="AS69" i="1"/>
  <c r="AG448" i="1"/>
  <c r="AC458" i="1"/>
  <c r="AD458" i="1"/>
  <c r="AC449" i="1"/>
  <c r="E20" i="13"/>
  <c r="H13" i="13"/>
  <c r="I13" i="13"/>
  <c r="AG82" i="1"/>
  <c r="AG84" i="1" s="1"/>
  <c r="AG88" i="1"/>
  <c r="U18" i="216"/>
  <c r="U14" i="216"/>
  <c r="U15" i="216" s="1"/>
  <c r="L187" i="1"/>
  <c r="L190" i="1"/>
  <c r="L195" i="1"/>
  <c r="L149" i="1"/>
  <c r="AR185" i="1"/>
  <c r="L365" i="1"/>
  <c r="O410" i="1"/>
  <c r="U187" i="1"/>
  <c r="U190" i="1"/>
  <c r="U195" i="1"/>
  <c r="U365" i="1"/>
  <c r="U149" i="1"/>
  <c r="AA257" i="1"/>
  <c r="AA264" i="1"/>
  <c r="AA271" i="1"/>
  <c r="AR256" i="1"/>
  <c r="AR270" i="1"/>
  <c r="P18" i="216"/>
  <c r="P14" i="216"/>
  <c r="P15" i="216" s="1"/>
  <c r="I482" i="1"/>
  <c r="Q489" i="1"/>
  <c r="AT256" i="1"/>
  <c r="AT270" i="1"/>
  <c r="AF69" i="1"/>
  <c r="AF68" i="1"/>
  <c r="AF70" i="1"/>
  <c r="S113" i="1"/>
  <c r="S187" i="1"/>
  <c r="S190" i="1"/>
  <c r="S195" i="1"/>
  <c r="S365" i="1"/>
  <c r="S149" i="1"/>
  <c r="AJ185" i="1"/>
  <c r="AJ186" i="1"/>
  <c r="AJ248" i="1"/>
  <c r="AJ228" i="1"/>
  <c r="AJ241" i="1"/>
  <c r="AJ227" i="1"/>
  <c r="I196" i="1"/>
  <c r="I366" i="1"/>
  <c r="I376" i="1" s="1"/>
  <c r="I150" i="1"/>
  <c r="X398" i="1"/>
  <c r="AB398" i="1"/>
  <c r="AX247" i="1"/>
  <c r="D26" i="194"/>
  <c r="W242" i="1"/>
  <c r="AM172" i="1"/>
  <c r="AM176" i="1"/>
  <c r="AM181" i="1"/>
  <c r="AM351" i="1"/>
  <c r="Q527" i="1"/>
  <c r="Q534" i="1"/>
  <c r="U527" i="1"/>
  <c r="Z489" i="1"/>
  <c r="AS249" i="1"/>
  <c r="P257" i="1"/>
  <c r="P264" i="1"/>
  <c r="AT412" i="1"/>
  <c r="V410" i="1"/>
  <c r="AE616" i="1"/>
  <c r="AE620" i="1" s="1"/>
  <c r="AE592" i="1"/>
  <c r="AE593" i="1"/>
  <c r="AE588" i="1"/>
  <c r="AE589" i="1"/>
  <c r="H9" i="56"/>
  <c r="AB187" i="1"/>
  <c r="AV185" i="1"/>
  <c r="AB190" i="1"/>
  <c r="AB195" i="1"/>
  <c r="AB365" i="1"/>
  <c r="AB149" i="1"/>
  <c r="O149" i="1"/>
  <c r="O187" i="1"/>
  <c r="O190" i="1"/>
  <c r="O195" i="1"/>
  <c r="O365" i="1"/>
  <c r="Z18" i="216"/>
  <c r="Z14" i="216"/>
  <c r="Z15" i="216" s="1"/>
  <c r="T95" i="1"/>
  <c r="T99" i="1"/>
  <c r="T96" i="1"/>
  <c r="O63" i="1"/>
  <c r="O73" i="1"/>
  <c r="O62" i="1"/>
  <c r="O64" i="1"/>
  <c r="O67" i="1"/>
  <c r="O484" i="1"/>
  <c r="S62" i="1"/>
  <c r="AU68" i="1"/>
  <c r="AU69" i="1"/>
  <c r="O616" i="1"/>
  <c r="O620" i="1" s="1"/>
  <c r="O592" i="1"/>
  <c r="O593" i="1"/>
  <c r="O589" i="1"/>
  <c r="O588" i="1"/>
  <c r="K9" i="56"/>
  <c r="K14" i="56" s="1"/>
  <c r="K16" i="56"/>
  <c r="O235" i="1"/>
  <c r="O242" i="1"/>
  <c r="O225" i="1"/>
  <c r="AK357" i="1"/>
  <c r="AK362" i="1"/>
  <c r="G20" i="13"/>
  <c r="F20" i="13"/>
  <c r="O18" i="216"/>
  <c r="O14" i="216"/>
  <c r="O15" i="216" s="1"/>
  <c r="I79" i="1"/>
  <c r="I82" i="1" s="1"/>
  <c r="I84" i="1" s="1"/>
  <c r="I75" i="1"/>
  <c r="I91" i="1"/>
  <c r="I93" i="1" s="1"/>
  <c r="R187" i="1"/>
  <c r="R190" i="1"/>
  <c r="R195" i="1"/>
  <c r="R365" i="1"/>
  <c r="R149" i="1"/>
  <c r="L14" i="56"/>
  <c r="J36" i="326"/>
  <c r="J31" i="326"/>
  <c r="AU256" i="1"/>
  <c r="AU270" i="1"/>
  <c r="AG235" i="1"/>
  <c r="AG242" i="1"/>
  <c r="G28" i="7"/>
  <c r="G50" i="7"/>
  <c r="G25" i="7"/>
  <c r="H24" i="7"/>
  <c r="N235" i="1"/>
  <c r="N242" i="1"/>
  <c r="N225" i="1"/>
  <c r="AG257" i="1"/>
  <c r="J16" i="326" s="1"/>
  <c r="AG264" i="1"/>
  <c r="J21" i="326" s="1"/>
  <c r="AG271" i="1"/>
  <c r="AG64" i="1"/>
  <c r="S264" i="1"/>
  <c r="S257" i="1"/>
  <c r="S64" i="1"/>
  <c r="X357" i="1"/>
  <c r="X362" i="1"/>
  <c r="Y362" i="1"/>
  <c r="AB357" i="1"/>
  <c r="AH211" i="1"/>
  <c r="AH218" i="1"/>
  <c r="N11" i="56"/>
  <c r="D22" i="13"/>
  <c r="F24" i="194"/>
  <c r="AD63" i="1"/>
  <c r="E10" i="92" s="1" a="1"/>
  <c r="AD73" i="1"/>
  <c r="AD62" i="1"/>
  <c r="AD67" i="1"/>
  <c r="AD64" i="1"/>
  <c r="AD484" i="1"/>
  <c r="AH489" i="1" s="1"/>
  <c r="Z79" i="1"/>
  <c r="Z75" i="1"/>
  <c r="Z91" i="1"/>
  <c r="Z93" i="1" s="1"/>
  <c r="Z74" i="1"/>
  <c r="AS234" i="1"/>
  <c r="F42" i="7"/>
  <c r="I44" i="194"/>
  <c r="I45" i="194"/>
  <c r="J482" i="1"/>
  <c r="O11" i="56"/>
  <c r="G24" i="194"/>
  <c r="AE63" i="1"/>
  <c r="AE67" i="1"/>
  <c r="AE73" i="1"/>
  <c r="AE62" i="1"/>
  <c r="AE64" i="1"/>
  <c r="AE484" i="1"/>
  <c r="I36" i="326"/>
  <c r="I31" i="326"/>
  <c r="D10" i="92" a="1"/>
  <c r="AG96" i="1"/>
  <c r="AG95" i="1"/>
  <c r="AG99" i="1"/>
  <c r="AB196" i="1"/>
  <c r="AB191" i="1"/>
  <c r="AV186" i="1"/>
  <c r="AB366" i="1"/>
  <c r="AB150" i="1"/>
  <c r="O150" i="1"/>
  <c r="O196" i="1"/>
  <c r="O191" i="1"/>
  <c r="O366" i="1"/>
  <c r="AS286" i="1"/>
  <c r="M24" i="194"/>
  <c r="AV63" i="1"/>
  <c r="AV62" i="1"/>
  <c r="AV67" i="1"/>
  <c r="AV73" i="1"/>
  <c r="I33" i="2"/>
  <c r="F9" i="2"/>
  <c r="G9" i="2"/>
  <c r="E223" i="1"/>
  <c r="E240" i="1"/>
  <c r="AP225" i="1"/>
  <c r="AP233" i="1" s="1"/>
  <c r="N616" i="1"/>
  <c r="N620" i="1" s="1"/>
  <c r="N592" i="1"/>
  <c r="N588" i="1"/>
  <c r="N593" i="1"/>
  <c r="N589" i="1"/>
  <c r="V616" i="1"/>
  <c r="V620" i="1" s="1"/>
  <c r="V588" i="1"/>
  <c r="V589" i="1"/>
  <c r="V592" i="1"/>
  <c r="V593" i="1"/>
  <c r="AL357" i="1"/>
  <c r="AL362" i="1"/>
  <c r="AK304" i="1"/>
  <c r="AK309" i="1"/>
  <c r="AT234" i="1"/>
  <c r="G42" i="7"/>
  <c r="AI35" i="1"/>
  <c r="AI34" i="1"/>
  <c r="AJ35" i="1"/>
  <c r="AR249" i="1"/>
  <c r="AR70" i="1" s="1"/>
  <c r="L271" i="1"/>
  <c r="L64" i="1"/>
  <c r="N18" i="216"/>
  <c r="N14" i="216"/>
  <c r="N15" i="216" s="1"/>
  <c r="R150" i="1"/>
  <c r="R196" i="1"/>
  <c r="R191" i="1"/>
  <c r="R366" i="1"/>
  <c r="AT249" i="1"/>
  <c r="T264" i="1"/>
  <c r="T271" i="1"/>
  <c r="T257" i="1"/>
  <c r="T64" i="1"/>
  <c r="G223" i="1"/>
  <c r="G240" i="1"/>
  <c r="X235" i="1"/>
  <c r="AU227" i="1"/>
  <c r="AU235" i="1" s="1"/>
  <c r="X242" i="1"/>
  <c r="AU249" i="1"/>
  <c r="AU70" i="1" s="1"/>
  <c r="X264" i="1"/>
  <c r="X271" i="1"/>
  <c r="X257" i="1"/>
  <c r="V534" i="1"/>
  <c r="V527" i="1"/>
  <c r="Q16" i="56"/>
  <c r="Z64" i="1"/>
  <c r="P149" i="1"/>
  <c r="P187" i="1"/>
  <c r="P190" i="1"/>
  <c r="P195" i="1"/>
  <c r="AS185" i="1"/>
  <c r="P365" i="1"/>
  <c r="L70" i="1"/>
  <c r="J79" i="1"/>
  <c r="J82" i="1" s="1"/>
  <c r="J84" i="1" s="1"/>
  <c r="J75" i="1"/>
  <c r="J91" i="1"/>
  <c r="J93" i="1" s="1"/>
  <c r="F11" i="56"/>
  <c r="V62" i="1"/>
  <c r="V64" i="1"/>
  <c r="V63" i="1"/>
  <c r="E7" i="92" s="1" a="1"/>
  <c r="V73" i="1"/>
  <c r="V67" i="1"/>
  <c r="V484" i="1"/>
  <c r="AT484" i="1" s="1"/>
  <c r="AE242" i="1"/>
  <c r="AE235" i="1"/>
  <c r="AC150" i="1"/>
  <c r="AC196" i="1"/>
  <c r="AC191" i="1"/>
  <c r="AC366" i="1"/>
  <c r="E9" i="56"/>
  <c r="E14" i="56" s="1"/>
  <c r="E16" i="56"/>
  <c r="T88" i="1"/>
  <c r="T82" i="1"/>
  <c r="T84" i="1" s="1"/>
  <c r="Y79" i="1"/>
  <c r="Y75" i="1"/>
  <c r="Y74" i="1"/>
  <c r="Y91" i="1"/>
  <c r="Y93" i="1" s="1"/>
  <c r="AC68" i="1"/>
  <c r="AC70" i="1"/>
  <c r="AC69" i="1"/>
  <c r="P406" i="1"/>
  <c r="AT186" i="1"/>
  <c r="T196" i="1"/>
  <c r="T191" i="1"/>
  <c r="T366" i="1"/>
  <c r="T150" i="1"/>
  <c r="M9" i="326"/>
  <c r="N9" i="326" s="1"/>
  <c r="U482" i="1"/>
  <c r="U489" i="1"/>
  <c r="AU234" i="1"/>
  <c r="H42" i="7"/>
  <c r="J223" i="1"/>
  <c r="J233" i="1"/>
  <c r="J240" i="1"/>
  <c r="Z235" i="1"/>
  <c r="Z242" i="1"/>
  <c r="N149" i="1"/>
  <c r="N187" i="1"/>
  <c r="N190" i="1"/>
  <c r="N195" i="1"/>
  <c r="N365" i="1"/>
  <c r="K223" i="1"/>
  <c r="K233" i="1"/>
  <c r="K240" i="1"/>
  <c r="AU177" i="1"/>
  <c r="AV177" i="1"/>
  <c r="AU299" i="1"/>
  <c r="AU352" i="1"/>
  <c r="AU387" i="1"/>
  <c r="AL34" i="1"/>
  <c r="AL35" i="1"/>
  <c r="T357" i="1"/>
  <c r="T362" i="1"/>
  <c r="U362" i="1"/>
  <c r="Q14" i="56"/>
  <c r="AS186" i="1"/>
  <c r="P196" i="1"/>
  <c r="P191" i="1"/>
  <c r="P366" i="1"/>
  <c r="P150" i="1"/>
  <c r="AE448" i="1"/>
  <c r="AV448" i="1" s="1"/>
  <c r="AB458" i="1"/>
  <c r="AA449" i="1"/>
  <c r="AA458" i="1"/>
  <c r="I26" i="194"/>
  <c r="J69" i="1"/>
  <c r="H39" i="194"/>
  <c r="N32" i="194"/>
  <c r="Q82" i="1"/>
  <c r="Q84" i="1" s="1"/>
  <c r="Q88" i="1"/>
  <c r="AG527" i="1"/>
  <c r="AG534" i="1"/>
  <c r="Q70" i="1"/>
  <c r="M269" i="1"/>
  <c r="M223" i="1"/>
  <c r="M233" i="1"/>
  <c r="M240" i="1"/>
  <c r="AU355" i="1"/>
  <c r="AV355" i="1"/>
  <c r="P91" i="1"/>
  <c r="P93" i="1" s="1"/>
  <c r="T94" i="1" s="1"/>
  <c r="P74" i="1"/>
  <c r="P79" i="1"/>
  <c r="P75" i="1"/>
  <c r="AC91" i="1"/>
  <c r="AC93" i="1" s="1"/>
  <c r="AC74" i="1"/>
  <c r="AC79" i="1"/>
  <c r="AC75" i="1"/>
  <c r="AR234" i="1"/>
  <c r="E42" i="7"/>
  <c r="AR79" i="1"/>
  <c r="AR75" i="1"/>
  <c r="AR91" i="1"/>
  <c r="AR93" i="1" s="1"/>
  <c r="AR74" i="1"/>
  <c r="AV256" i="1"/>
  <c r="AV270" i="1"/>
  <c r="Y534" i="1"/>
  <c r="Y527" i="1"/>
  <c r="AC527" i="1"/>
  <c r="AR69" i="1"/>
  <c r="AR68" i="1"/>
  <c r="R257" i="1"/>
  <c r="R264" i="1"/>
  <c r="H150" i="1"/>
  <c r="AQ186" i="1"/>
  <c r="H366" i="1"/>
  <c r="AA235" i="1"/>
  <c r="AA242" i="1"/>
  <c r="AL309" i="1"/>
  <c r="AL304" i="1"/>
  <c r="M18" i="216"/>
  <c r="M14" i="216"/>
  <c r="M15" i="216" s="1"/>
  <c r="AT185" i="1"/>
  <c r="T187" i="1"/>
  <c r="T190" i="1"/>
  <c r="T195" i="1"/>
  <c r="T365" i="1"/>
  <c r="T149" i="1"/>
  <c r="N40" i="194"/>
  <c r="O40" i="194"/>
  <c r="L18" i="216"/>
  <c r="L14" i="216"/>
  <c r="L15" i="216" s="1"/>
  <c r="I69" i="1"/>
  <c r="AB96" i="1"/>
  <c r="AB94" i="1"/>
  <c r="AB95" i="1"/>
  <c r="AB99" i="1"/>
  <c r="H482" i="1"/>
  <c r="AQ484" i="1"/>
  <c r="E26" i="13"/>
  <c r="AH75" i="1"/>
  <c r="AH91" i="1"/>
  <c r="AH93" i="1" s="1"/>
  <c r="AH74" i="1"/>
  <c r="AH79" i="1"/>
  <c r="X195" i="1"/>
  <c r="AU185" i="1"/>
  <c r="X190" i="1"/>
  <c r="X187" i="1"/>
  <c r="X365" i="1"/>
  <c r="X149" i="1"/>
  <c r="AG196" i="1"/>
  <c r="AG191" i="1"/>
  <c r="AG366" i="1"/>
  <c r="AG150" i="1"/>
  <c r="N150" i="1"/>
  <c r="N196" i="1"/>
  <c r="N191" i="1"/>
  <c r="N366" i="1"/>
  <c r="AO99" i="1"/>
  <c r="AO95" i="1"/>
  <c r="AP94" i="1"/>
  <c r="AO96" i="1"/>
  <c r="X304" i="1"/>
  <c r="X309" i="1"/>
  <c r="Y309" i="1"/>
  <c r="AB304" i="1"/>
  <c r="L96" i="1"/>
  <c r="L94" i="1"/>
  <c r="L99" i="1"/>
  <c r="L95" i="1"/>
  <c r="T304" i="1"/>
  <c r="T309" i="1"/>
  <c r="U309" i="1"/>
  <c r="Z70" i="1"/>
  <c r="Z68" i="1"/>
  <c r="Z69" i="1"/>
  <c r="AC235" i="1"/>
  <c r="AC242" i="1"/>
  <c r="S88" i="1"/>
  <c r="S82" i="1"/>
  <c r="S84" i="1" s="1"/>
  <c r="Q74" i="1"/>
  <c r="AP256" i="1"/>
  <c r="AP270" i="1"/>
  <c r="Q68" i="1"/>
  <c r="AU74" i="1"/>
  <c r="AU91" i="1"/>
  <c r="AU93" i="1" s="1"/>
  <c r="AU79" i="1"/>
  <c r="AU75" i="1"/>
  <c r="AA68" i="1"/>
  <c r="AA70" i="1"/>
  <c r="AA69" i="1"/>
  <c r="AX176" i="1"/>
  <c r="AX351" i="1"/>
  <c r="AX356" i="1" s="1"/>
  <c r="AX298" i="1"/>
  <c r="AX303" i="1" s="1"/>
  <c r="AQ185" i="1"/>
  <c r="H149" i="1"/>
  <c r="H187" i="1"/>
  <c r="H365" i="1"/>
  <c r="E104" i="2"/>
  <c r="G106" i="2"/>
  <c r="F104" i="2"/>
  <c r="G104" i="2"/>
  <c r="H104" i="2"/>
  <c r="F126" i="2"/>
  <c r="F106" i="2"/>
  <c r="D7" i="92"/>
  <c r="G8" i="92" s="1"/>
  <c r="Y264" i="1"/>
  <c r="Y271" i="1"/>
  <c r="Y257" i="1"/>
  <c r="N63" i="1"/>
  <c r="N62" i="1"/>
  <c r="N73" i="1"/>
  <c r="N64" i="1"/>
  <c r="N67" i="1"/>
  <c r="N484" i="1"/>
  <c r="AF242" i="1"/>
  <c r="AF235" i="1"/>
  <c r="Y18" i="216"/>
  <c r="Y14" i="216"/>
  <c r="Y15" i="216" s="1"/>
  <c r="AL119" i="1"/>
  <c r="I18" i="216"/>
  <c r="I14" i="216"/>
  <c r="I15" i="216" s="1"/>
  <c r="AA489" i="1"/>
  <c r="X18" i="216"/>
  <c r="X14" i="216"/>
  <c r="X15" i="216" s="1"/>
  <c r="W18" i="216"/>
  <c r="W14" i="216"/>
  <c r="W15" i="216" s="1"/>
  <c r="U75" i="1"/>
  <c r="U74" i="1"/>
  <c r="U91" i="1"/>
  <c r="U93" i="1" s="1"/>
  <c r="U79" i="1"/>
  <c r="V150" i="1"/>
  <c r="V191" i="1"/>
  <c r="V366" i="1"/>
  <c r="V196" i="1"/>
  <c r="H79" i="1"/>
  <c r="H82" i="1" s="1"/>
  <c r="H84" i="1" s="1"/>
  <c r="H75" i="1"/>
  <c r="H91" i="1"/>
  <c r="H93" i="1" s="1"/>
  <c r="H26" i="194"/>
  <c r="H43" i="194"/>
  <c r="X191" i="1"/>
  <c r="AU186" i="1"/>
  <c r="X196" i="1"/>
  <c r="X366" i="1"/>
  <c r="X150" i="1"/>
  <c r="AL226" i="1"/>
  <c r="AI226" i="1"/>
  <c r="AH185" i="1"/>
  <c r="AH186" i="1"/>
  <c r="AH248" i="1"/>
  <c r="AH228" i="1"/>
  <c r="AH234" i="1"/>
  <c r="AH227" i="1"/>
  <c r="AD242" i="1"/>
  <c r="AD235" i="1"/>
  <c r="AB527" i="1"/>
  <c r="AT177" i="1"/>
  <c r="AT299" i="1"/>
  <c r="AT304" i="1" s="1"/>
  <c r="AT352" i="1"/>
  <c r="AT357" i="1" s="1"/>
  <c r="AT387" i="1"/>
  <c r="AT398" i="1" s="1"/>
  <c r="AU356" i="1"/>
  <c r="AV356" i="1"/>
  <c r="AO492" i="1"/>
  <c r="AP487" i="1"/>
  <c r="AS484" i="1"/>
  <c r="P489" i="1"/>
  <c r="P482" i="1"/>
  <c r="H22" i="194"/>
  <c r="H34" i="194"/>
  <c r="V264" i="1"/>
  <c r="V271" i="1"/>
  <c r="V257" i="1"/>
  <c r="Q99" i="1"/>
  <c r="Q95" i="1"/>
  <c r="Q96" i="1"/>
  <c r="AE196" i="1"/>
  <c r="AE191" i="1"/>
  <c r="AE366" i="1"/>
  <c r="AE150" i="1"/>
  <c r="AE257" i="1"/>
  <c r="H16" i="326" s="1"/>
  <c r="AE264" i="1"/>
  <c r="H21" i="326" s="1"/>
  <c r="AE271" i="1"/>
  <c r="P227" i="1"/>
  <c r="AV453" i="1" l="1"/>
  <c r="E18" i="92"/>
  <c r="E19" i="92"/>
  <c r="E12" i="92"/>
  <c r="E14" i="92"/>
  <c r="E15" i="92"/>
  <c r="E10" i="92"/>
  <c r="E11" i="92"/>
  <c r="E13" i="92"/>
  <c r="G12" i="92" s="1"/>
  <c r="E16" i="92"/>
  <c r="E17" i="92"/>
  <c r="L36" i="326"/>
  <c r="L31" i="326"/>
  <c r="L26" i="326"/>
  <c r="N36" i="326"/>
  <c r="N31" i="326"/>
  <c r="N26" i="326"/>
  <c r="AT489" i="1"/>
  <c r="G7" i="92"/>
  <c r="E7" i="92"/>
  <c r="AS191" i="1"/>
  <c r="AS313" i="1"/>
  <c r="AS366" i="1"/>
  <c r="AM119" i="1"/>
  <c r="AD68" i="1"/>
  <c r="AD70" i="1"/>
  <c r="AD69" i="1"/>
  <c r="F29" i="2"/>
  <c r="F28" i="2"/>
  <c r="N197" i="1"/>
  <c r="N192" i="1"/>
  <c r="N314" i="1"/>
  <c r="N367" i="1"/>
  <c r="N389" i="1"/>
  <c r="R376" i="1"/>
  <c r="R371" i="1"/>
  <c r="Y382" i="1"/>
  <c r="Y151" i="1"/>
  <c r="Y163" i="1"/>
  <c r="Y276" i="1"/>
  <c r="Y329" i="1"/>
  <c r="Y156" i="1"/>
  <c r="M94" i="1"/>
  <c r="M96" i="1"/>
  <c r="M99" i="1"/>
  <c r="M95" i="1"/>
  <c r="AU357" i="1"/>
  <c r="AV357" i="1"/>
  <c r="N91" i="1"/>
  <c r="N93" i="1" s="1"/>
  <c r="N74" i="1"/>
  <c r="N79" i="1"/>
  <c r="N75" i="1"/>
  <c r="T370" i="1"/>
  <c r="T375" i="1"/>
  <c r="AC82" i="1"/>
  <c r="AC84" i="1" s="1"/>
  <c r="AC85" i="1" s="1"/>
  <c r="AC88" i="1"/>
  <c r="U487" i="1"/>
  <c r="V69" i="1"/>
  <c r="V68" i="1"/>
  <c r="V70" i="1"/>
  <c r="O371" i="1"/>
  <c r="O376" i="1"/>
  <c r="AE489" i="1"/>
  <c r="AS257" i="1"/>
  <c r="AS64" i="1"/>
  <c r="I375" i="1"/>
  <c r="AS96" i="1"/>
  <c r="AS95" i="1"/>
  <c r="AS99" i="1"/>
  <c r="AS94" i="1"/>
  <c r="AD586" i="1"/>
  <c r="AV583" i="1"/>
  <c r="AG192" i="1"/>
  <c r="AG197" i="1"/>
  <c r="AG314" i="1"/>
  <c r="AG367" i="1"/>
  <c r="AG389" i="1"/>
  <c r="H28" i="2"/>
  <c r="H29" i="2"/>
  <c r="F245" i="1"/>
  <c r="F238" i="1"/>
  <c r="W376" i="1"/>
  <c r="W371" i="1"/>
  <c r="P14" i="56"/>
  <c r="AE383" i="1"/>
  <c r="AE157" i="1"/>
  <c r="AE164" i="1"/>
  <c r="AE277" i="1"/>
  <c r="AE330" i="1"/>
  <c r="P82" i="1"/>
  <c r="P84" i="1" s="1"/>
  <c r="P85" i="1" s="1"/>
  <c r="P88" i="1"/>
  <c r="N68" i="1"/>
  <c r="N70" i="1"/>
  <c r="N69" i="1"/>
  <c r="H41" i="194"/>
  <c r="N34" i="194"/>
  <c r="P225" i="1"/>
  <c r="P235" i="1"/>
  <c r="P242" i="1"/>
  <c r="T235" i="1"/>
  <c r="AH235" i="1"/>
  <c r="AH242" i="1"/>
  <c r="AS482" i="1"/>
  <c r="P487" i="1"/>
  <c r="H26" i="13"/>
  <c r="I26" i="13"/>
  <c r="E28" i="13"/>
  <c r="Q85" i="1"/>
  <c r="K245" i="1"/>
  <c r="K238" i="1"/>
  <c r="K231" i="1"/>
  <c r="Y99" i="1"/>
  <c r="Y95" i="1"/>
  <c r="Y94" i="1"/>
  <c r="Y96" i="1"/>
  <c r="V79" i="1"/>
  <c r="V75" i="1"/>
  <c r="V91" i="1"/>
  <c r="V93" i="1" s="1"/>
  <c r="V74" i="1"/>
  <c r="Z88" i="1"/>
  <c r="Z82" i="1"/>
  <c r="Z84" i="1" s="1"/>
  <c r="H29" i="7"/>
  <c r="T102" i="1"/>
  <c r="T108" i="1"/>
  <c r="T111" i="1" s="1"/>
  <c r="T101" i="1"/>
  <c r="I383" i="1"/>
  <c r="I405" i="1" s="1"/>
  <c r="I164" i="1"/>
  <c r="I277" i="1"/>
  <c r="U382" i="1"/>
  <c r="U156" i="1"/>
  <c r="U151" i="1"/>
  <c r="U163" i="1"/>
  <c r="U276" i="1"/>
  <c r="U329" i="1"/>
  <c r="L197" i="1"/>
  <c r="AR187" i="1"/>
  <c r="L192" i="1"/>
  <c r="L367" i="1"/>
  <c r="L314" i="1"/>
  <c r="L389" i="1"/>
  <c r="I197" i="1"/>
  <c r="I367" i="1"/>
  <c r="I314" i="1"/>
  <c r="I389" i="1"/>
  <c r="AA96" i="1"/>
  <c r="AA95" i="1"/>
  <c r="AA99" i="1"/>
  <c r="W86" i="1"/>
  <c r="W113" i="1" s="1"/>
  <c r="W622" i="1"/>
  <c r="W625" i="1" s="1"/>
  <c r="W87" i="1" s="1"/>
  <c r="AQ233" i="1"/>
  <c r="D23" i="7"/>
  <c r="R96" i="2"/>
  <c r="I245" i="1"/>
  <c r="I329" i="1" s="1"/>
  <c r="I343" i="1" s="1"/>
  <c r="I231" i="1"/>
  <c r="I238" i="1"/>
  <c r="U383" i="1"/>
  <c r="U164" i="1"/>
  <c r="U277" i="1"/>
  <c r="U330" i="1"/>
  <c r="U157" i="1"/>
  <c r="L383" i="1"/>
  <c r="AR150" i="1"/>
  <c r="L164" i="1"/>
  <c r="L277" i="1"/>
  <c r="L157" i="1"/>
  <c r="L330" i="1"/>
  <c r="Y487" i="1"/>
  <c r="J375" i="1"/>
  <c r="AC197" i="1"/>
  <c r="AC192" i="1"/>
  <c r="AC367" i="1"/>
  <c r="AC314" i="1"/>
  <c r="AC389" i="1"/>
  <c r="Z376" i="1"/>
  <c r="Z371" i="1"/>
  <c r="AE382" i="1"/>
  <c r="AE156" i="1"/>
  <c r="AE163" i="1"/>
  <c r="AE276" i="1"/>
  <c r="AE151" i="1"/>
  <c r="AE329" i="1"/>
  <c r="AK235" i="1"/>
  <c r="AK242" i="1"/>
  <c r="V382" i="1"/>
  <c r="V156" i="1"/>
  <c r="V151" i="1"/>
  <c r="V163" i="1"/>
  <c r="V276" i="1"/>
  <c r="V329" i="1"/>
  <c r="AQ489" i="1"/>
  <c r="U375" i="1"/>
  <c r="U370" i="1"/>
  <c r="X487" i="1"/>
  <c r="AS82" i="1"/>
  <c r="AS84" i="1" s="1"/>
  <c r="AS88" i="1"/>
  <c r="G9" i="56"/>
  <c r="H14" i="56" s="1"/>
  <c r="G16" i="56"/>
  <c r="U376" i="1"/>
  <c r="U371" i="1"/>
  <c r="AD375" i="1"/>
  <c r="AD370" i="1"/>
  <c r="AV257" i="1"/>
  <c r="AZ249" i="1"/>
  <c r="AV271" i="1"/>
  <c r="J197" i="1"/>
  <c r="J367" i="1"/>
  <c r="J377" i="1" s="1"/>
  <c r="J314" i="1"/>
  <c r="J324" i="1" s="1"/>
  <c r="J389" i="1"/>
  <c r="AQ82" i="1"/>
  <c r="AQ84" i="1" s="1"/>
  <c r="AQ85" i="1" s="1"/>
  <c r="AQ88" i="1"/>
  <c r="AC382" i="1"/>
  <c r="AC163" i="1"/>
  <c r="AC156" i="1"/>
  <c r="AC151" i="1"/>
  <c r="AC276" i="1"/>
  <c r="AC329" i="1"/>
  <c r="H77" i="2"/>
  <c r="H108" i="2" s="1"/>
  <c r="H52" i="2"/>
  <c r="H53" i="2"/>
  <c r="H67" i="2"/>
  <c r="H57" i="2"/>
  <c r="H59" i="2" s="1"/>
  <c r="H54" i="2"/>
  <c r="AE375" i="1"/>
  <c r="AE370" i="1"/>
  <c r="V370" i="1"/>
  <c r="V375" i="1"/>
  <c r="AU94" i="1"/>
  <c r="AU96" i="1"/>
  <c r="AU95" i="1"/>
  <c r="AU99" i="1"/>
  <c r="AG383" i="1"/>
  <c r="AG157" i="1"/>
  <c r="AG164" i="1"/>
  <c r="AG277" i="1"/>
  <c r="AG330" i="1"/>
  <c r="AQ482" i="1"/>
  <c r="T192" i="1"/>
  <c r="T197" i="1"/>
  <c r="AT187" i="1"/>
  <c r="T314" i="1"/>
  <c r="T389" i="1"/>
  <c r="T367" i="1"/>
  <c r="T383" i="1"/>
  <c r="AT150" i="1"/>
  <c r="T157" i="1"/>
  <c r="T164" i="1"/>
  <c r="T277" i="1"/>
  <c r="T330" i="1"/>
  <c r="G52" i="7"/>
  <c r="G51" i="7"/>
  <c r="O383" i="1"/>
  <c r="O157" i="1"/>
  <c r="O164" i="1"/>
  <c r="O330" i="1"/>
  <c r="AE91" i="1"/>
  <c r="AE93" i="1" s="1"/>
  <c r="AE74" i="1"/>
  <c r="AE79" i="1"/>
  <c r="AE75" i="1"/>
  <c r="AF382" i="1"/>
  <c r="AF151" i="1"/>
  <c r="AF163" i="1"/>
  <c r="AF156" i="1"/>
  <c r="AF276" i="1"/>
  <c r="AF329" i="1"/>
  <c r="AF82" i="1"/>
  <c r="AF88" i="1"/>
  <c r="AA82" i="1"/>
  <c r="AA84" i="1" s="1"/>
  <c r="AA88" i="1"/>
  <c r="M82" i="1"/>
  <c r="M84" i="1" s="1"/>
  <c r="M85" i="1" s="1"/>
  <c r="M88" i="1"/>
  <c r="Q383" i="1"/>
  <c r="Q157" i="1"/>
  <c r="Q164" i="1"/>
  <c r="Q330" i="1"/>
  <c r="O17" i="7"/>
  <c r="P15" i="7"/>
  <c r="AK249" i="1"/>
  <c r="AK256" i="1"/>
  <c r="AK250" i="1"/>
  <c r="AK263" i="1"/>
  <c r="AB383" i="1"/>
  <c r="AV150" i="1"/>
  <c r="AB164" i="1"/>
  <c r="AB157" i="1"/>
  <c r="AB277" i="1"/>
  <c r="AB330" i="1"/>
  <c r="H245" i="1"/>
  <c r="AQ223" i="1"/>
  <c r="H231" i="1"/>
  <c r="H238" i="1"/>
  <c r="E46" i="2"/>
  <c r="AH187" i="1"/>
  <c r="AH190" i="1"/>
  <c r="AH195" i="1"/>
  <c r="AH365" i="1"/>
  <c r="AH149" i="1"/>
  <c r="O370" i="1"/>
  <c r="O375" i="1"/>
  <c r="J20" i="7"/>
  <c r="J21" i="7"/>
  <c r="J8" i="2"/>
  <c r="J9" i="2" s="1"/>
  <c r="J25" i="7"/>
  <c r="AA370" i="1"/>
  <c r="AA375" i="1"/>
  <c r="P94" i="1"/>
  <c r="P96" i="1"/>
  <c r="P99" i="1"/>
  <c r="P95" i="1"/>
  <c r="N163" i="1"/>
  <c r="N151" i="1"/>
  <c r="N156" i="1"/>
  <c r="N329" i="1"/>
  <c r="N382" i="1"/>
  <c r="J99" i="1"/>
  <c r="J95" i="1"/>
  <c r="AV191" i="1"/>
  <c r="AV313" i="1"/>
  <c r="AV366" i="1"/>
  <c r="G26" i="194"/>
  <c r="G43" i="194"/>
  <c r="K44" i="194" s="1"/>
  <c r="D26" i="13"/>
  <c r="AD91" i="1"/>
  <c r="AD93" i="1" s="1"/>
  <c r="AH94" i="1" s="1"/>
  <c r="AD74" i="1"/>
  <c r="AD79" i="1"/>
  <c r="BA72" i="1"/>
  <c r="BA73" i="1" s="1"/>
  <c r="AD75" i="1"/>
  <c r="AE86" i="1"/>
  <c r="AE113" i="1" s="1"/>
  <c r="AE622" i="1"/>
  <c r="AE625" i="1" s="1"/>
  <c r="AE87" i="1" s="1"/>
  <c r="Y370" i="1"/>
  <c r="Y375" i="1"/>
  <c r="M487" i="1"/>
  <c r="AD382" i="1"/>
  <c r="AD163" i="1"/>
  <c r="AD156" i="1"/>
  <c r="AD151" i="1"/>
  <c r="AD276" i="1"/>
  <c r="AD329" i="1"/>
  <c r="W382" i="1"/>
  <c r="W156" i="1"/>
  <c r="W151" i="1"/>
  <c r="W163" i="1"/>
  <c r="W276" i="1"/>
  <c r="W329" i="1"/>
  <c r="J14" i="56"/>
  <c r="Z197" i="1"/>
  <c r="Z192" i="1"/>
  <c r="Z367" i="1"/>
  <c r="Z314" i="1"/>
  <c r="Z389" i="1"/>
  <c r="AU82" i="1"/>
  <c r="AU84" i="1" s="1"/>
  <c r="AU88" i="1"/>
  <c r="AT190" i="1"/>
  <c r="AT365" i="1"/>
  <c r="AT312" i="1"/>
  <c r="AE197" i="1"/>
  <c r="AE314" i="1"/>
  <c r="AE192" i="1"/>
  <c r="AE367" i="1"/>
  <c r="AE389" i="1"/>
  <c r="AL185" i="1"/>
  <c r="AL248" i="1"/>
  <c r="AL241" i="1"/>
  <c r="AL228" i="1"/>
  <c r="AL227" i="1"/>
  <c r="AL186" i="1"/>
  <c r="O9" i="56"/>
  <c r="O16" i="56"/>
  <c r="O223" i="1"/>
  <c r="O276" i="1" s="1"/>
  <c r="O269" i="1"/>
  <c r="O233" i="1"/>
  <c r="O240" i="1"/>
  <c r="AT410" i="1"/>
  <c r="AM356" i="1"/>
  <c r="AM361" i="1"/>
  <c r="AX226" i="1"/>
  <c r="AF192" i="1"/>
  <c r="AF197" i="1"/>
  <c r="AF314" i="1"/>
  <c r="AF367" i="1"/>
  <c r="AF389" i="1"/>
  <c r="AF371" i="1"/>
  <c r="AF376" i="1"/>
  <c r="R68" i="1"/>
  <c r="R88" i="1"/>
  <c r="R82" i="1"/>
  <c r="R84" i="1" s="1"/>
  <c r="W370" i="1"/>
  <c r="W375" i="1"/>
  <c r="AH68" i="1"/>
  <c r="AB85" i="1"/>
  <c r="N39" i="194"/>
  <c r="O39" i="194"/>
  <c r="V371" i="1"/>
  <c r="V376" i="1"/>
  <c r="L102" i="1"/>
  <c r="L108" i="1"/>
  <c r="L111" i="1" s="1"/>
  <c r="L101" i="1"/>
  <c r="AM34" i="1"/>
  <c r="AM35" i="1"/>
  <c r="AE371" i="1"/>
  <c r="AE376" i="1"/>
  <c r="E245" i="1"/>
  <c r="AP223" i="1"/>
  <c r="AP231" i="1" s="1"/>
  <c r="E238" i="1"/>
  <c r="J376" i="1"/>
  <c r="U88" i="1"/>
  <c r="U82" i="1"/>
  <c r="U84" i="1" s="1"/>
  <c r="U85" i="1" s="1"/>
  <c r="X370" i="1"/>
  <c r="X375" i="1"/>
  <c r="R383" i="1"/>
  <c r="R157" i="1"/>
  <c r="R164" i="1"/>
  <c r="R330" i="1"/>
  <c r="I51" i="2"/>
  <c r="I43" i="2"/>
  <c r="I38" i="2"/>
  <c r="I27" i="2"/>
  <c r="I48" i="2"/>
  <c r="I96" i="2"/>
  <c r="F26" i="194"/>
  <c r="F43" i="194"/>
  <c r="O197" i="1"/>
  <c r="O314" i="1"/>
  <c r="O192" i="1"/>
  <c r="O367" i="1"/>
  <c r="O389" i="1"/>
  <c r="AJ249" i="1"/>
  <c r="AJ256" i="1"/>
  <c r="AJ250" i="1"/>
  <c r="AW185" i="1"/>
  <c r="Y192" i="1"/>
  <c r="Y197" i="1"/>
  <c r="Y367" i="1"/>
  <c r="Y314" i="1"/>
  <c r="Y389" i="1"/>
  <c r="Y383" i="1"/>
  <c r="Y164" i="1"/>
  <c r="Y157" i="1"/>
  <c r="Y277" i="1"/>
  <c r="Y330" i="1"/>
  <c r="G28" i="2"/>
  <c r="G29" i="2"/>
  <c r="M31" i="326"/>
  <c r="M36" i="326"/>
  <c r="M26" i="326"/>
  <c r="R74" i="1"/>
  <c r="Q192" i="1"/>
  <c r="Q197" i="1"/>
  <c r="Q314" i="1"/>
  <c r="Q367" i="1"/>
  <c r="Q389" i="1"/>
  <c r="AA197" i="1"/>
  <c r="AA192" i="1"/>
  <c r="AA314" i="1"/>
  <c r="AA367" i="1"/>
  <c r="AA389" i="1"/>
  <c r="S102" i="1"/>
  <c r="S108" i="1"/>
  <c r="S111" i="1" s="1"/>
  <c r="S101" i="1"/>
  <c r="N383" i="1"/>
  <c r="N157" i="1"/>
  <c r="N164" i="1"/>
  <c r="N330" i="1"/>
  <c r="K10" i="326"/>
  <c r="K11" i="326" s="1"/>
  <c r="AH249" i="1"/>
  <c r="AH250" i="1"/>
  <c r="AH263" i="1"/>
  <c r="K20" i="326" s="1"/>
  <c r="AH256" i="1"/>
  <c r="K15" i="326" s="1"/>
  <c r="AA13" i="216"/>
  <c r="AG371" i="1"/>
  <c r="AG376" i="1"/>
  <c r="T371" i="1"/>
  <c r="T376" i="1"/>
  <c r="AT257" i="1"/>
  <c r="AT271" i="1"/>
  <c r="AT64" i="1"/>
  <c r="AJ235" i="1"/>
  <c r="AF375" i="1"/>
  <c r="AF370" i="1"/>
  <c r="Q371" i="1"/>
  <c r="Q376" i="1"/>
  <c r="AK187" i="1"/>
  <c r="AK190" i="1"/>
  <c r="AK195" i="1"/>
  <c r="AK365" i="1"/>
  <c r="AD197" i="1"/>
  <c r="AD192" i="1"/>
  <c r="AD314" i="1"/>
  <c r="AD367" i="1"/>
  <c r="AD389" i="1"/>
  <c r="V192" i="1"/>
  <c r="V197" i="1"/>
  <c r="V314" i="1"/>
  <c r="V389" i="1"/>
  <c r="V367" i="1"/>
  <c r="AI185" i="1"/>
  <c r="AM226" i="1"/>
  <c r="AI248" i="1"/>
  <c r="AJ263" i="1" s="1"/>
  <c r="AI228" i="1"/>
  <c r="AW228" i="1" s="1"/>
  <c r="AI227" i="1"/>
  <c r="AJ242" i="1" s="1"/>
  <c r="AI234" i="1"/>
  <c r="AI186" i="1"/>
  <c r="X383" i="1"/>
  <c r="AU150" i="1"/>
  <c r="X164" i="1"/>
  <c r="X157" i="1"/>
  <c r="X277" i="1"/>
  <c r="X330" i="1"/>
  <c r="AQ187" i="1"/>
  <c r="H314" i="1"/>
  <c r="H389" i="1"/>
  <c r="H367" i="1"/>
  <c r="X376" i="1"/>
  <c r="X371" i="1"/>
  <c r="AQ149" i="1"/>
  <c r="H151" i="1"/>
  <c r="H329" i="1"/>
  <c r="H382" i="1"/>
  <c r="H384" i="1" s="1"/>
  <c r="H276" i="1"/>
  <c r="X192" i="1"/>
  <c r="AU187" i="1"/>
  <c r="X197" i="1"/>
  <c r="X314" i="1"/>
  <c r="X389" i="1"/>
  <c r="X367" i="1"/>
  <c r="AC371" i="1"/>
  <c r="AC376" i="1"/>
  <c r="AV74" i="1"/>
  <c r="AV91" i="1"/>
  <c r="AV93" i="1" s="1"/>
  <c r="AV79" i="1"/>
  <c r="AV75" i="1"/>
  <c r="AG108" i="1"/>
  <c r="AG111" i="1" s="1"/>
  <c r="AG101" i="1"/>
  <c r="AG100" i="1"/>
  <c r="AG102" i="1"/>
  <c r="G23" i="13"/>
  <c r="F23" i="13"/>
  <c r="D24" i="13"/>
  <c r="N269" i="1"/>
  <c r="N233" i="1"/>
  <c r="N223" i="1"/>
  <c r="N277" i="1" s="1"/>
  <c r="N240" i="1"/>
  <c r="R382" i="1"/>
  <c r="R156" i="1"/>
  <c r="R151" i="1"/>
  <c r="R163" i="1"/>
  <c r="R329" i="1"/>
  <c r="O482" i="1"/>
  <c r="AR482" i="1" s="1"/>
  <c r="O489" i="1"/>
  <c r="S489" i="1"/>
  <c r="O382" i="1"/>
  <c r="O163" i="1"/>
  <c r="O151" i="1"/>
  <c r="O156" i="1"/>
  <c r="O329" i="1"/>
  <c r="AJ191" i="1"/>
  <c r="AJ366" i="1"/>
  <c r="S383" i="1"/>
  <c r="S157" i="1"/>
  <c r="S164" i="1"/>
  <c r="S330" i="1"/>
  <c r="I51" i="7"/>
  <c r="I52" i="7"/>
  <c r="F52" i="2"/>
  <c r="F54" i="2"/>
  <c r="F57" i="2"/>
  <c r="F59" i="2" s="1"/>
  <c r="F62" i="2" s="1"/>
  <c r="F67" i="2"/>
  <c r="F53" i="2"/>
  <c r="F77" i="2"/>
  <c r="F108" i="2"/>
  <c r="Y376" i="1"/>
  <c r="Y371" i="1"/>
  <c r="R94" i="1"/>
  <c r="R99" i="1"/>
  <c r="R95" i="1"/>
  <c r="R96" i="1"/>
  <c r="AK431" i="1"/>
  <c r="AK442" i="1"/>
  <c r="Q382" i="1"/>
  <c r="Q151" i="1"/>
  <c r="Q163" i="1"/>
  <c r="Q156" i="1"/>
  <c r="Q329" i="1"/>
  <c r="AA382" i="1"/>
  <c r="AA156" i="1"/>
  <c r="AA151" i="1"/>
  <c r="AA163" i="1"/>
  <c r="AA276" i="1"/>
  <c r="AA329" i="1"/>
  <c r="Z382" i="1"/>
  <c r="Z151" i="1"/>
  <c r="Z156" i="1"/>
  <c r="Z276" i="1"/>
  <c r="Z329" i="1"/>
  <c r="Z163" i="1"/>
  <c r="F46" i="2"/>
  <c r="F36" i="2"/>
  <c r="Z370" i="1"/>
  <c r="Z375" i="1"/>
  <c r="U95" i="1"/>
  <c r="U99" i="1"/>
  <c r="U94" i="1"/>
  <c r="U96" i="1"/>
  <c r="X382" i="1"/>
  <c r="AU149" i="1"/>
  <c r="X156" i="1"/>
  <c r="X151" i="1"/>
  <c r="X163" i="1"/>
  <c r="X329" i="1"/>
  <c r="X276" i="1"/>
  <c r="AX33" i="1"/>
  <c r="AX34" i="1" s="1"/>
  <c r="AT191" i="1"/>
  <c r="AT313" i="1"/>
  <c r="AT318" i="1" s="1"/>
  <c r="AT366" i="1"/>
  <c r="AT371" i="1" s="1"/>
  <c r="AU257" i="1"/>
  <c r="AU271" i="1"/>
  <c r="AU64" i="1"/>
  <c r="Q108" i="1"/>
  <c r="Q111" i="1" s="1"/>
  <c r="Q101" i="1"/>
  <c r="Q100" i="1"/>
  <c r="Q102" i="1"/>
  <c r="N482" i="1"/>
  <c r="N489" i="1"/>
  <c r="AR484" i="1"/>
  <c r="AQ190" i="1"/>
  <c r="AQ312" i="1"/>
  <c r="AQ317" i="1" s="1"/>
  <c r="AQ365" i="1"/>
  <c r="AR96" i="1"/>
  <c r="AR95" i="1"/>
  <c r="AR99" i="1"/>
  <c r="AR94" i="1"/>
  <c r="AA454" i="1"/>
  <c r="AA464" i="1"/>
  <c r="AA459" i="1"/>
  <c r="AB459" i="1"/>
  <c r="AU449" i="1"/>
  <c r="T19" i="216"/>
  <c r="W19" i="216"/>
  <c r="X19" i="216"/>
  <c r="U19" i="216"/>
  <c r="V19" i="216"/>
  <c r="AU398" i="1"/>
  <c r="AV398" i="1"/>
  <c r="P370" i="1"/>
  <c r="P375" i="1"/>
  <c r="AV68" i="1"/>
  <c r="AV70" i="1"/>
  <c r="AV69" i="1"/>
  <c r="N9" i="56"/>
  <c r="N14" i="56" s="1"/>
  <c r="N16" i="56"/>
  <c r="R375" i="1"/>
  <c r="R370" i="1"/>
  <c r="O68" i="1"/>
  <c r="O70" i="1"/>
  <c r="O69" i="1"/>
  <c r="S68" i="1"/>
  <c r="AB382" i="1"/>
  <c r="AB163" i="1"/>
  <c r="AV149" i="1"/>
  <c r="AB156" i="1"/>
  <c r="AB151" i="1"/>
  <c r="AB276" i="1"/>
  <c r="AB329" i="1"/>
  <c r="AM387" i="1"/>
  <c r="AM177" i="1"/>
  <c r="AM182" i="1"/>
  <c r="AM299" i="1"/>
  <c r="AM352" i="1"/>
  <c r="AX172" i="1"/>
  <c r="AJ187" i="1"/>
  <c r="AJ190" i="1"/>
  <c r="AJ195" i="1"/>
  <c r="AJ365" i="1"/>
  <c r="AC459" i="1"/>
  <c r="AD459" i="1"/>
  <c r="AC454" i="1"/>
  <c r="AC464" i="1"/>
  <c r="AV449" i="1"/>
  <c r="S376" i="1"/>
  <c r="S371" i="1"/>
  <c r="M383" i="1"/>
  <c r="M164" i="1"/>
  <c r="M157" i="1"/>
  <c r="M277" i="1"/>
  <c r="M330" i="1"/>
  <c r="M163" i="1"/>
  <c r="M151" i="1"/>
  <c r="M156" i="1"/>
  <c r="M276" i="1"/>
  <c r="M329" i="1"/>
  <c r="M382" i="1"/>
  <c r="G53" i="2"/>
  <c r="G54" i="2"/>
  <c r="G67" i="2"/>
  <c r="G57" i="2"/>
  <c r="G59" i="2" s="1"/>
  <c r="G77" i="2"/>
  <c r="G108" i="2" s="1"/>
  <c r="G52" i="2"/>
  <c r="AA383" i="1"/>
  <c r="AA164" i="1"/>
  <c r="AA157" i="1"/>
  <c r="AA277" i="1"/>
  <c r="AA330" i="1"/>
  <c r="K24" i="7"/>
  <c r="K28" i="7"/>
  <c r="K29" i="7" s="1"/>
  <c r="K25" i="7"/>
  <c r="L25" i="7" s="1"/>
  <c r="M25" i="7" s="1"/>
  <c r="N25" i="7" s="1"/>
  <c r="O25" i="7" s="1"/>
  <c r="P25" i="7" s="1"/>
  <c r="Q25" i="7" s="1"/>
  <c r="R25" i="7" s="1"/>
  <c r="S25" i="7" s="1"/>
  <c r="T25" i="7" s="1"/>
  <c r="U25" i="7" s="1"/>
  <c r="K50" i="7"/>
  <c r="W192" i="1"/>
  <c r="W197" i="1"/>
  <c r="W314" i="1"/>
  <c r="W389" i="1"/>
  <c r="W367" i="1"/>
  <c r="L85" i="1"/>
  <c r="R487" i="1"/>
  <c r="AH150" i="1"/>
  <c r="AH196" i="1"/>
  <c r="AH191" i="1"/>
  <c r="AH366" i="1"/>
  <c r="J151" i="1"/>
  <c r="J163" i="1"/>
  <c r="J276" i="1"/>
  <c r="J382" i="1"/>
  <c r="AU191" i="1"/>
  <c r="AU313" i="1"/>
  <c r="AU318" i="1" s="1"/>
  <c r="AU366" i="1"/>
  <c r="AU371" i="1" s="1"/>
  <c r="AU190" i="1"/>
  <c r="AU365" i="1"/>
  <c r="AU370" i="1" s="1"/>
  <c r="AU312" i="1"/>
  <c r="AU317" i="1" s="1"/>
  <c r="J245" i="1"/>
  <c r="J329" i="1" s="1"/>
  <c r="J231" i="1"/>
  <c r="J238" i="1"/>
  <c r="AV64" i="1"/>
  <c r="AB370" i="1"/>
  <c r="AB375" i="1"/>
  <c r="S382" i="1"/>
  <c r="S156" i="1"/>
  <c r="S151" i="1"/>
  <c r="S163" i="1"/>
  <c r="S329" i="1"/>
  <c r="O408" i="1"/>
  <c r="M371" i="1"/>
  <c r="M376" i="1"/>
  <c r="AF383" i="1"/>
  <c r="AF157" i="1"/>
  <c r="AF164" i="1"/>
  <c r="AF277" i="1"/>
  <c r="AF330" i="1"/>
  <c r="M375" i="1"/>
  <c r="M370" i="1"/>
  <c r="K376" i="1"/>
  <c r="G36" i="2"/>
  <c r="G46" i="2"/>
  <c r="AA376" i="1"/>
  <c r="AA371" i="1"/>
  <c r="P11" i="7"/>
  <c r="O13" i="7"/>
  <c r="K375" i="1"/>
  <c r="R489" i="1"/>
  <c r="AC94" i="1"/>
  <c r="AC96" i="1"/>
  <c r="AC99" i="1"/>
  <c r="AC95" i="1"/>
  <c r="Y82" i="1"/>
  <c r="Y84" i="1" s="1"/>
  <c r="Y88" i="1"/>
  <c r="T85" i="1"/>
  <c r="AQ191" i="1"/>
  <c r="AQ313" i="1"/>
  <c r="AQ318" i="1" s="1"/>
  <c r="AQ366" i="1"/>
  <c r="AQ371" i="1" s="1"/>
  <c r="AR82" i="1"/>
  <c r="AR84" i="1" s="1"/>
  <c r="AR85" i="1" s="1"/>
  <c r="AR88" i="1"/>
  <c r="AU304" i="1"/>
  <c r="AV304" i="1"/>
  <c r="H51" i="7"/>
  <c r="H52" i="7"/>
  <c r="H53" i="7" s="1"/>
  <c r="AC383" i="1"/>
  <c r="AC164" i="1"/>
  <c r="AC157" i="1"/>
  <c r="AC277" i="1"/>
  <c r="AC330" i="1"/>
  <c r="AG94" i="1"/>
  <c r="F51" i="7"/>
  <c r="Q227" i="1"/>
  <c r="S370" i="1"/>
  <c r="S375" i="1"/>
  <c r="L375" i="1"/>
  <c r="L370" i="1"/>
  <c r="W489" i="1"/>
  <c r="W482" i="1"/>
  <c r="AL431" i="1"/>
  <c r="AL442" i="1"/>
  <c r="AT82" i="1"/>
  <c r="AT84" i="1" s="1"/>
  <c r="AT85" i="1" s="1"/>
  <c r="AT88" i="1"/>
  <c r="X99" i="1"/>
  <c r="X95" i="1"/>
  <c r="X94" i="1"/>
  <c r="X96" i="1"/>
  <c r="K95" i="1"/>
  <c r="K99" i="1"/>
  <c r="AG382" i="1"/>
  <c r="AG151" i="1"/>
  <c r="AG163" i="1"/>
  <c r="AG156" i="1"/>
  <c r="AG276" i="1"/>
  <c r="AG329" i="1"/>
  <c r="AP191" i="1"/>
  <c r="AP366" i="1"/>
  <c r="AP371" i="1" s="1"/>
  <c r="AP150" i="1"/>
  <c r="AE68" i="1"/>
  <c r="AE70" i="1"/>
  <c r="AE69" i="1"/>
  <c r="AU489" i="1"/>
  <c r="AB371" i="1"/>
  <c r="AB376" i="1"/>
  <c r="AF93" i="1"/>
  <c r="AH88" i="1"/>
  <c r="AH82" i="1"/>
  <c r="AH84" i="1" s="1"/>
  <c r="H383" i="1"/>
  <c r="H405" i="1" s="1"/>
  <c r="AQ150" i="1"/>
  <c r="H277" i="1"/>
  <c r="H330" i="1"/>
  <c r="E51" i="7"/>
  <c r="AI448" i="1"/>
  <c r="AE458" i="1"/>
  <c r="AF458" i="1"/>
  <c r="AE449" i="1"/>
  <c r="V622" i="1"/>
  <c r="V625" i="1" s="1"/>
  <c r="V87" i="1" s="1"/>
  <c r="V86" i="1"/>
  <c r="V113" i="1" s="1"/>
  <c r="D13" i="92"/>
  <c r="D10" i="92"/>
  <c r="D14" i="92"/>
  <c r="D15" i="92"/>
  <c r="D16" i="92"/>
  <c r="G13" i="92" s="1"/>
  <c r="D17" i="92"/>
  <c r="D18" i="92"/>
  <c r="D19" i="92"/>
  <c r="D12" i="92"/>
  <c r="D11" i="92"/>
  <c r="G11" i="92" s="1"/>
  <c r="R192" i="1"/>
  <c r="R197" i="1"/>
  <c r="R314" i="1"/>
  <c r="R367" i="1"/>
  <c r="R389" i="1"/>
  <c r="O91" i="1"/>
  <c r="O93" i="1" s="1"/>
  <c r="O74" i="1"/>
  <c r="O79" i="1"/>
  <c r="O75" i="1"/>
  <c r="S74" i="1"/>
  <c r="P271" i="1"/>
  <c r="AR190" i="1"/>
  <c r="AR312" i="1"/>
  <c r="AR365" i="1"/>
  <c r="AR370" i="1" s="1"/>
  <c r="AR225" i="1"/>
  <c r="K383" i="1"/>
  <c r="K405" i="1" s="1"/>
  <c r="K164" i="1"/>
  <c r="K277" i="1"/>
  <c r="W79" i="1"/>
  <c r="W75" i="1"/>
  <c r="W74" i="1"/>
  <c r="W91" i="1"/>
  <c r="W93" i="1" s="1"/>
  <c r="AT70" i="1"/>
  <c r="AT96" i="1"/>
  <c r="AT99" i="1"/>
  <c r="AT95" i="1"/>
  <c r="AT94" i="1"/>
  <c r="L371" i="1"/>
  <c r="L376" i="1"/>
  <c r="E23" i="13"/>
  <c r="AD383" i="1"/>
  <c r="AD157" i="1"/>
  <c r="AD164" i="1"/>
  <c r="AD277" i="1"/>
  <c r="AD330" i="1"/>
  <c r="AG375" i="1"/>
  <c r="AG370" i="1"/>
  <c r="N408" i="1"/>
  <c r="AR410" i="1"/>
  <c r="AP149" i="1"/>
  <c r="AP187" i="1"/>
  <c r="AP190" i="1"/>
  <c r="AP365" i="1"/>
  <c r="AP370" i="1" s="1"/>
  <c r="K197" i="1"/>
  <c r="K314" i="1"/>
  <c r="K389" i="1"/>
  <c r="K367" i="1"/>
  <c r="N622" i="1"/>
  <c r="N625" i="1" s="1"/>
  <c r="N87" i="1" s="1"/>
  <c r="N86" i="1"/>
  <c r="N113" i="1" s="1"/>
  <c r="AS489" i="1"/>
  <c r="Z383" i="1"/>
  <c r="Z164" i="1"/>
  <c r="Z157" i="1"/>
  <c r="Z277" i="1"/>
  <c r="Z330" i="1"/>
  <c r="V383" i="1"/>
  <c r="V157" i="1"/>
  <c r="V277" i="1"/>
  <c r="V164" i="1"/>
  <c r="V330" i="1"/>
  <c r="U192" i="1"/>
  <c r="U197" i="1"/>
  <c r="U314" i="1"/>
  <c r="U367" i="1"/>
  <c r="U389" i="1"/>
  <c r="E53" i="2"/>
  <c r="E57" i="2"/>
  <c r="E59" i="2" s="1"/>
  <c r="E62" i="2" s="1"/>
  <c r="E67" i="2"/>
  <c r="E77" i="2"/>
  <c r="E108" i="2" s="1"/>
  <c r="E54" i="2"/>
  <c r="M238" i="1"/>
  <c r="M231" i="1"/>
  <c r="M267" i="1"/>
  <c r="P383" i="1"/>
  <c r="AS150" i="1"/>
  <c r="P157" i="1"/>
  <c r="P164" i="1"/>
  <c r="P330" i="1"/>
  <c r="P192" i="1"/>
  <c r="P197" i="1"/>
  <c r="AS187" i="1"/>
  <c r="P314" i="1"/>
  <c r="P367" i="1"/>
  <c r="P389" i="1"/>
  <c r="M26" i="194"/>
  <c r="M43" i="194"/>
  <c r="M45" i="194" s="1"/>
  <c r="I99" i="1"/>
  <c r="I95" i="1"/>
  <c r="T487" i="1"/>
  <c r="AV190" i="1"/>
  <c r="AV312" i="1"/>
  <c r="AV317" i="1" s="1"/>
  <c r="AV365" i="1"/>
  <c r="AV370" i="1" s="1"/>
  <c r="AX255" i="1"/>
  <c r="AX269" i="1"/>
  <c r="K19" i="7"/>
  <c r="AR149" i="1"/>
  <c r="L163" i="1"/>
  <c r="L151" i="1"/>
  <c r="L156" i="1"/>
  <c r="L276" i="1"/>
  <c r="L329" i="1"/>
  <c r="L382" i="1"/>
  <c r="AR223" i="1"/>
  <c r="L238" i="1"/>
  <c r="L231" i="1"/>
  <c r="L267" i="1"/>
  <c r="M197" i="1"/>
  <c r="M192" i="1"/>
  <c r="M367" i="1"/>
  <c r="M314" i="1"/>
  <c r="M389" i="1"/>
  <c r="J44" i="194"/>
  <c r="J45" i="194"/>
  <c r="X88" i="1"/>
  <c r="X82" i="1"/>
  <c r="X84" i="1" s="1"/>
  <c r="X85" i="1" s="1"/>
  <c r="AD371" i="1"/>
  <c r="AD376" i="1"/>
  <c r="AC375" i="1"/>
  <c r="AC370" i="1"/>
  <c r="L487" i="1"/>
  <c r="K151" i="1"/>
  <c r="K163" i="1"/>
  <c r="K276" i="1"/>
  <c r="K290" i="1" s="1"/>
  <c r="K382" i="1"/>
  <c r="K384" i="1" s="1"/>
  <c r="N375" i="1"/>
  <c r="N370" i="1"/>
  <c r="AD489" i="1"/>
  <c r="AV484" i="1"/>
  <c r="O86" i="1"/>
  <c r="O113" i="1" s="1"/>
  <c r="O622" i="1"/>
  <c r="O625" i="1" s="1"/>
  <c r="O87" i="1" s="1"/>
  <c r="J383" i="1"/>
  <c r="J405" i="1" s="1"/>
  <c r="J164" i="1"/>
  <c r="J277" i="1"/>
  <c r="J291" i="1" s="1"/>
  <c r="J330" i="1"/>
  <c r="AB100" i="1"/>
  <c r="AB102" i="1"/>
  <c r="AB108" i="1"/>
  <c r="AB111" i="1" s="1"/>
  <c r="AB101" i="1"/>
  <c r="F9" i="56"/>
  <c r="F14" i="56" s="1"/>
  <c r="F16" i="56"/>
  <c r="Q375" i="1"/>
  <c r="Q370" i="1"/>
  <c r="Q94" i="1"/>
  <c r="AS190" i="1"/>
  <c r="AS365" i="1"/>
  <c r="AS370" i="1" s="1"/>
  <c r="AS312" i="1"/>
  <c r="AS317" i="1" s="1"/>
  <c r="N43" i="194"/>
  <c r="H44" i="194"/>
  <c r="H45" i="194"/>
  <c r="AO102" i="1"/>
  <c r="AO108" i="1"/>
  <c r="AO111" i="1" s="1"/>
  <c r="AO101" i="1"/>
  <c r="AP100" i="1"/>
  <c r="H99" i="1"/>
  <c r="L100" i="1" s="1"/>
  <c r="H95" i="1"/>
  <c r="N371" i="1"/>
  <c r="N376" i="1"/>
  <c r="AH96" i="1"/>
  <c r="AH95" i="1"/>
  <c r="AH99" i="1"/>
  <c r="T382" i="1"/>
  <c r="AT149" i="1"/>
  <c r="T156" i="1"/>
  <c r="T151" i="1"/>
  <c r="T163" i="1"/>
  <c r="T276" i="1"/>
  <c r="T329" i="1"/>
  <c r="P371" i="1"/>
  <c r="P376" i="1"/>
  <c r="V482" i="1"/>
  <c r="V489" i="1"/>
  <c r="P382" i="1"/>
  <c r="P151" i="1"/>
  <c r="AS149" i="1"/>
  <c r="P163" i="1"/>
  <c r="P156" i="1"/>
  <c r="P329" i="1"/>
  <c r="G245" i="1"/>
  <c r="G238" i="1"/>
  <c r="AR271" i="1"/>
  <c r="AR64" i="1"/>
  <c r="Z96" i="1"/>
  <c r="Z99" i="1"/>
  <c r="Z95" i="1"/>
  <c r="Z94" i="1"/>
  <c r="AB197" i="1"/>
  <c r="AB192" i="1"/>
  <c r="AV187" i="1"/>
  <c r="AB367" i="1"/>
  <c r="AB314" i="1"/>
  <c r="AB389" i="1"/>
  <c r="S192" i="1"/>
  <c r="S197" i="1"/>
  <c r="S314" i="1"/>
  <c r="S367" i="1"/>
  <c r="S389" i="1"/>
  <c r="AK448" i="1"/>
  <c r="AG458" i="1"/>
  <c r="AH458" i="1"/>
  <c r="AW448" i="1"/>
  <c r="AG449" i="1"/>
  <c r="I151" i="1"/>
  <c r="I163" i="1"/>
  <c r="I276" i="1"/>
  <c r="I382" i="1"/>
  <c r="I384" i="1" s="1"/>
  <c r="M36" i="7"/>
  <c r="M27" i="7" s="1"/>
  <c r="N12" i="2"/>
  <c r="W68" i="1"/>
  <c r="W70" i="1"/>
  <c r="W69" i="1"/>
  <c r="AV235" i="1"/>
  <c r="AR191" i="1"/>
  <c r="AR313" i="1"/>
  <c r="AR318" i="1" s="1"/>
  <c r="AR366" i="1"/>
  <c r="AQ99" i="1"/>
  <c r="AQ95" i="1"/>
  <c r="AQ94" i="1"/>
  <c r="W383" i="1"/>
  <c r="W164" i="1"/>
  <c r="W157" i="1"/>
  <c r="W277" i="1"/>
  <c r="W330" i="1"/>
  <c r="AK191" i="1"/>
  <c r="AK196" i="1"/>
  <c r="AK366" i="1"/>
  <c r="P16" i="56"/>
  <c r="AW226" i="1"/>
  <c r="H60" i="2" l="1"/>
  <c r="H61" i="2" s="1"/>
  <c r="H62" i="2"/>
  <c r="G60" i="2"/>
  <c r="G61" i="2" s="1"/>
  <c r="G62" i="2"/>
  <c r="N284" i="1"/>
  <c r="N291" i="1"/>
  <c r="J343" i="1"/>
  <c r="AR487" i="1"/>
  <c r="O283" i="1"/>
  <c r="S393" i="1"/>
  <c r="S384" i="1"/>
  <c r="X384" i="1"/>
  <c r="X393" i="1"/>
  <c r="AF394" i="1"/>
  <c r="AD372" i="1"/>
  <c r="AD377" i="1"/>
  <c r="P101" i="1"/>
  <c r="P108" i="1"/>
  <c r="P111" i="1" s="1"/>
  <c r="P102" i="1"/>
  <c r="P100" i="1"/>
  <c r="N405" i="1"/>
  <c r="N394" i="1"/>
  <c r="AX119" i="1"/>
  <c r="J344" i="1"/>
  <c r="I386" i="1"/>
  <c r="I439" i="1"/>
  <c r="I417" i="1"/>
  <c r="J438" i="1"/>
  <c r="J404" i="1"/>
  <c r="L336" i="1"/>
  <c r="AS156" i="1"/>
  <c r="AS382" i="1"/>
  <c r="AS329" i="1"/>
  <c r="L283" i="1"/>
  <c r="L290" i="1"/>
  <c r="AR233" i="1"/>
  <c r="AR269" i="1"/>
  <c r="E23" i="7"/>
  <c r="I153" i="1"/>
  <c r="I165" i="1"/>
  <c r="I278" i="1"/>
  <c r="I331" i="1"/>
  <c r="P165" i="1"/>
  <c r="P158" i="1"/>
  <c r="AS151" i="1"/>
  <c r="P153" i="1"/>
  <c r="P331" i="1"/>
  <c r="AV489" i="1"/>
  <c r="AS389" i="1"/>
  <c r="P400" i="1"/>
  <c r="P422" i="1"/>
  <c r="P433" i="1"/>
  <c r="P444" i="1"/>
  <c r="P493" i="1"/>
  <c r="P464" i="1"/>
  <c r="Z337" i="1"/>
  <c r="Z344" i="1"/>
  <c r="AP192" i="1"/>
  <c r="AP367" i="1"/>
  <c r="AP372" i="1" s="1"/>
  <c r="AP314" i="1"/>
  <c r="AP319" i="1" s="1"/>
  <c r="AP389" i="1"/>
  <c r="AG384" i="1"/>
  <c r="AG393" i="1"/>
  <c r="S165" i="1"/>
  <c r="S158" i="1"/>
  <c r="S153" i="1"/>
  <c r="S331" i="1"/>
  <c r="O393" i="1"/>
  <c r="O384" i="1"/>
  <c r="X337" i="1"/>
  <c r="X344" i="1"/>
  <c r="N337" i="1"/>
  <c r="N344" i="1"/>
  <c r="R405" i="1"/>
  <c r="R394" i="1"/>
  <c r="AF319" i="1"/>
  <c r="AF324" i="1"/>
  <c r="AD283" i="1"/>
  <c r="AD290" i="1"/>
  <c r="AD82" i="1"/>
  <c r="AD84" i="1" s="1"/>
  <c r="AD85" i="1" s="1"/>
  <c r="AD88" i="1"/>
  <c r="N158" i="1"/>
  <c r="N153" i="1"/>
  <c r="N165" i="1"/>
  <c r="N278" i="1"/>
  <c r="N331" i="1"/>
  <c r="AH382" i="1"/>
  <c r="AH276" i="1"/>
  <c r="AH156" i="1"/>
  <c r="AH151" i="1"/>
  <c r="AH163" i="1"/>
  <c r="AH329" i="1"/>
  <c r="AV157" i="1"/>
  <c r="AV277" i="1"/>
  <c r="AV330" i="1"/>
  <c r="AV383" i="1"/>
  <c r="O337" i="1"/>
  <c r="O344" i="1"/>
  <c r="AT192" i="1"/>
  <c r="AT367" i="1"/>
  <c r="AT314" i="1"/>
  <c r="G14" i="2"/>
  <c r="AE336" i="1"/>
  <c r="AE343" i="1"/>
  <c r="I438" i="1"/>
  <c r="I404" i="1"/>
  <c r="AL191" i="1"/>
  <c r="AL196" i="1"/>
  <c r="AL366" i="1"/>
  <c r="M283" i="1"/>
  <c r="M290" i="1"/>
  <c r="AA336" i="1"/>
  <c r="AA343" i="1"/>
  <c r="Y400" i="1"/>
  <c r="Y444" i="1"/>
  <c r="Y464" i="1"/>
  <c r="Y433" i="1"/>
  <c r="Y493" i="1"/>
  <c r="Y422" i="1"/>
  <c r="AL242" i="1"/>
  <c r="AL235" i="1"/>
  <c r="L372" i="1"/>
  <c r="L377" i="1"/>
  <c r="AD319" i="1"/>
  <c r="AD324" i="1"/>
  <c r="AH192" i="1"/>
  <c r="AH197" i="1"/>
  <c r="AH314" i="1"/>
  <c r="AH367" i="1"/>
  <c r="AH389" i="1"/>
  <c r="AK264" i="1"/>
  <c r="AK271" i="1"/>
  <c r="AK257" i="1"/>
  <c r="S319" i="1"/>
  <c r="S324" i="1"/>
  <c r="AT156" i="1"/>
  <c r="AT276" i="1"/>
  <c r="AT382" i="1"/>
  <c r="AT329" i="1"/>
  <c r="AT336" i="1" s="1"/>
  <c r="AB372" i="1"/>
  <c r="AB377" i="1"/>
  <c r="AQ100" i="1"/>
  <c r="AQ108" i="1"/>
  <c r="AQ101" i="1"/>
  <c r="AV192" i="1"/>
  <c r="AV314" i="1"/>
  <c r="AV319" i="1" s="1"/>
  <c r="AV367" i="1"/>
  <c r="I14" i="2"/>
  <c r="AR371" i="1"/>
  <c r="AG459" i="1"/>
  <c r="AG454" i="1"/>
  <c r="AG464" i="1"/>
  <c r="AH459" i="1"/>
  <c r="P393" i="1"/>
  <c r="P384" i="1"/>
  <c r="L158" i="1"/>
  <c r="L153" i="1"/>
  <c r="AR151" i="1"/>
  <c r="L165" i="1"/>
  <c r="L278" i="1"/>
  <c r="L331" i="1"/>
  <c r="P377" i="1"/>
  <c r="P372" i="1"/>
  <c r="Z291" i="1"/>
  <c r="Z284" i="1"/>
  <c r="AP151" i="1"/>
  <c r="AP276" i="1"/>
  <c r="AP382" i="1"/>
  <c r="AR317" i="1"/>
  <c r="AE459" i="1"/>
  <c r="AE454" i="1"/>
  <c r="AE464" i="1"/>
  <c r="AF459" i="1"/>
  <c r="K108" i="1"/>
  <c r="K111" i="1" s="1"/>
  <c r="K101" i="1"/>
  <c r="J290" i="1"/>
  <c r="M384" i="1"/>
  <c r="M393" i="1"/>
  <c r="AB336" i="1"/>
  <c r="AB343" i="1"/>
  <c r="AU454" i="1"/>
  <c r="AU156" i="1"/>
  <c r="AU276" i="1"/>
  <c r="AU283" i="1" s="1"/>
  <c r="AU329" i="1"/>
  <c r="AU336" i="1" s="1"/>
  <c r="AU382" i="1"/>
  <c r="Z158" i="1"/>
  <c r="Z153" i="1"/>
  <c r="Z165" i="1"/>
  <c r="Z278" i="1"/>
  <c r="Z331" i="1"/>
  <c r="S344" i="1"/>
  <c r="S337" i="1"/>
  <c r="AU314" i="1"/>
  <c r="AU319" i="1" s="1"/>
  <c r="AU192" i="1"/>
  <c r="AU367" i="1"/>
  <c r="AU372" i="1" s="1"/>
  <c r="H14" i="2"/>
  <c r="X291" i="1"/>
  <c r="X284" i="1"/>
  <c r="Y394" i="1"/>
  <c r="O319" i="1"/>
  <c r="O324" i="1"/>
  <c r="O14" i="56"/>
  <c r="AU85" i="1"/>
  <c r="AD158" i="1"/>
  <c r="AD153" i="1"/>
  <c r="AD165" i="1"/>
  <c r="AD278" i="1"/>
  <c r="AD331" i="1"/>
  <c r="AH375" i="1"/>
  <c r="AH370" i="1"/>
  <c r="AB394" i="1"/>
  <c r="O277" i="1"/>
  <c r="J422" i="1"/>
  <c r="J444" i="1"/>
  <c r="J464" i="1"/>
  <c r="J493" i="1"/>
  <c r="AE165" i="1"/>
  <c r="AE158" i="1"/>
  <c r="AE153" i="1"/>
  <c r="AE278" i="1"/>
  <c r="AE331" i="1"/>
  <c r="P20" i="216"/>
  <c r="P21" i="216" s="1"/>
  <c r="P22" i="216" s="1"/>
  <c r="Q20" i="216"/>
  <c r="Q21" i="216" s="1"/>
  <c r="Q22" i="216" s="1"/>
  <c r="M20" i="216"/>
  <c r="M21" i="216" s="1"/>
  <c r="M22" i="216" s="1"/>
  <c r="R20" i="216"/>
  <c r="R21" i="216" s="1"/>
  <c r="R22" i="216" s="1"/>
  <c r="E20" i="216"/>
  <c r="E21" i="216" s="1"/>
  <c r="E22" i="216" s="1"/>
  <c r="F20" i="216"/>
  <c r="F21" i="216" s="1"/>
  <c r="F22" i="216" s="1"/>
  <c r="G20" i="216"/>
  <c r="G21" i="216" s="1"/>
  <c r="G22" i="216" s="1"/>
  <c r="H20" i="216"/>
  <c r="H21" i="216" s="1"/>
  <c r="H22" i="216" s="1"/>
  <c r="I20" i="216"/>
  <c r="I21" i="216" s="1"/>
  <c r="I22" i="216" s="1"/>
  <c r="J20" i="216"/>
  <c r="J21" i="216" s="1"/>
  <c r="J22" i="216" s="1"/>
  <c r="K20" i="216"/>
  <c r="K21" i="216" s="1"/>
  <c r="K22" i="216" s="1"/>
  <c r="L20" i="216"/>
  <c r="L21" i="216" s="1"/>
  <c r="L22" i="216" s="1"/>
  <c r="N20" i="216"/>
  <c r="N21" i="216" s="1"/>
  <c r="N22" i="216" s="1"/>
  <c r="O20" i="216"/>
  <c r="O21" i="216" s="1"/>
  <c r="O22" i="216" s="1"/>
  <c r="AR389" i="1"/>
  <c r="L400" i="1"/>
  <c r="L422" i="1"/>
  <c r="L433" i="1"/>
  <c r="L444" i="1"/>
  <c r="L464" i="1"/>
  <c r="L493" i="1"/>
  <c r="Y100" i="1"/>
  <c r="Y102" i="1"/>
  <c r="Y108" i="1"/>
  <c r="Y111" i="1" s="1"/>
  <c r="Y101" i="1"/>
  <c r="AE394" i="1"/>
  <c r="AD616" i="1"/>
  <c r="AV586" i="1"/>
  <c r="AD592" i="1"/>
  <c r="AD588" i="1"/>
  <c r="AD589" i="1"/>
  <c r="AD593" i="1"/>
  <c r="L37" i="326"/>
  <c r="L32" i="326"/>
  <c r="V487" i="1"/>
  <c r="AB158" i="1"/>
  <c r="AB153" i="1"/>
  <c r="AV151" i="1"/>
  <c r="AB165" i="1"/>
  <c r="AB278" i="1"/>
  <c r="AB331" i="1"/>
  <c r="M319" i="1"/>
  <c r="M324" i="1"/>
  <c r="Q11" i="7"/>
  <c r="P13" i="7"/>
  <c r="M158" i="1"/>
  <c r="M153" i="1"/>
  <c r="M165" i="1"/>
  <c r="M278" i="1"/>
  <c r="M331" i="1"/>
  <c r="U102" i="1"/>
  <c r="U108" i="1"/>
  <c r="U111" i="1" s="1"/>
  <c r="U101" i="1"/>
  <c r="U100" i="1"/>
  <c r="AF336" i="1"/>
  <c r="AF343" i="1"/>
  <c r="AK458" i="1"/>
  <c r="AL458" i="1"/>
  <c r="H108" i="1"/>
  <c r="H111" i="1" s="1"/>
  <c r="H101" i="1"/>
  <c r="K386" i="1"/>
  <c r="K417" i="1"/>
  <c r="M372" i="1"/>
  <c r="M377" i="1"/>
  <c r="P337" i="1"/>
  <c r="P344" i="1"/>
  <c r="U444" i="1"/>
  <c r="U464" i="1"/>
  <c r="U422" i="1"/>
  <c r="U433" i="1"/>
  <c r="U400" i="1"/>
  <c r="U493" i="1"/>
  <c r="N406" i="1"/>
  <c r="AR408" i="1"/>
  <c r="O82" i="1"/>
  <c r="O84" i="1" s="1"/>
  <c r="O88" i="1"/>
  <c r="Q225" i="1"/>
  <c r="Q235" i="1"/>
  <c r="Q242" i="1"/>
  <c r="U235" i="1"/>
  <c r="Q271" i="1"/>
  <c r="AA291" i="1"/>
  <c r="AA284" i="1"/>
  <c r="AA158" i="1"/>
  <c r="AA153" i="1"/>
  <c r="AA165" i="1"/>
  <c r="AA278" i="1"/>
  <c r="AA331" i="1"/>
  <c r="AI196" i="1"/>
  <c r="AI191" i="1"/>
  <c r="AI366" i="1"/>
  <c r="AJ376" i="1" s="1"/>
  <c r="AL263" i="1"/>
  <c r="AL256" i="1"/>
  <c r="AL250" i="1"/>
  <c r="AL249" i="1"/>
  <c r="AV371" i="1"/>
  <c r="Q15" i="7"/>
  <c r="P17" i="7"/>
  <c r="AF283" i="1"/>
  <c r="AF290" i="1"/>
  <c r="AG284" i="1"/>
  <c r="AG291" i="1"/>
  <c r="Y153" i="1"/>
  <c r="Y158" i="1"/>
  <c r="Y165" i="1"/>
  <c r="Y278" i="1"/>
  <c r="Y331" i="1"/>
  <c r="AS371" i="1"/>
  <c r="F27" i="13"/>
  <c r="G27" i="13"/>
  <c r="D28" i="13"/>
  <c r="AQ487" i="1"/>
  <c r="AS100" i="1"/>
  <c r="AS102" i="1"/>
  <c r="AS108" i="1"/>
  <c r="AS111" i="1" s="1"/>
  <c r="AS101" i="1"/>
  <c r="Z394" i="1"/>
  <c r="AD384" i="1"/>
  <c r="AD393" i="1"/>
  <c r="K247" i="1"/>
  <c r="O253" i="1"/>
  <c r="K253" i="1"/>
  <c r="K260" i="1"/>
  <c r="L260" i="1"/>
  <c r="AK376" i="1"/>
  <c r="AK371" i="1"/>
  <c r="H386" i="1"/>
  <c r="H417" i="1"/>
  <c r="AE384" i="1"/>
  <c r="AE393" i="1"/>
  <c r="S422" i="1"/>
  <c r="S433" i="1"/>
  <c r="S400" i="1"/>
  <c r="S444" i="1"/>
  <c r="S493" i="1"/>
  <c r="S464" i="1"/>
  <c r="T343" i="1"/>
  <c r="T336" i="1"/>
  <c r="K329" i="1"/>
  <c r="K343" i="1" s="1"/>
  <c r="U372" i="1"/>
  <c r="U377" i="1"/>
  <c r="W99" i="1"/>
  <c r="W95" i="1"/>
  <c r="W94" i="1"/>
  <c r="W96" i="1"/>
  <c r="X100" i="1"/>
  <c r="X102" i="1"/>
  <c r="X108" i="1"/>
  <c r="X111" i="1" s="1"/>
  <c r="X101" i="1"/>
  <c r="AH277" i="1"/>
  <c r="AH383" i="1"/>
  <c r="AH157" i="1"/>
  <c r="AH164" i="1"/>
  <c r="AH330" i="1"/>
  <c r="M344" i="1"/>
  <c r="AJ389" i="1"/>
  <c r="AJ192" i="1"/>
  <c r="AJ197" i="1"/>
  <c r="AJ314" i="1"/>
  <c r="AJ367" i="1"/>
  <c r="AB393" i="1"/>
  <c r="AB384" i="1"/>
  <c r="AR100" i="1"/>
  <c r="AR102" i="1"/>
  <c r="AR108" i="1"/>
  <c r="AR111" i="1" s="1"/>
  <c r="AR101" i="1"/>
  <c r="AJ371" i="1"/>
  <c r="H153" i="1"/>
  <c r="AQ151" i="1"/>
  <c r="H278" i="1"/>
  <c r="H331" i="1"/>
  <c r="AK375" i="1"/>
  <c r="AK370" i="1"/>
  <c r="I29" i="2"/>
  <c r="I28" i="2"/>
  <c r="AL187" i="1"/>
  <c r="AL190" i="1"/>
  <c r="AL195" i="1"/>
  <c r="AL365" i="1"/>
  <c r="AV318" i="1"/>
  <c r="T344" i="1"/>
  <c r="T337" i="1"/>
  <c r="L291" i="1"/>
  <c r="L284" i="1"/>
  <c r="U343" i="1"/>
  <c r="U336" i="1"/>
  <c r="E27" i="13"/>
  <c r="F247" i="1"/>
  <c r="F260" i="1"/>
  <c r="Y384" i="1"/>
  <c r="Y393" i="1"/>
  <c r="AS318" i="1"/>
  <c r="M336" i="1"/>
  <c r="M343" i="1"/>
  <c r="AD400" i="1"/>
  <c r="AD464" i="1"/>
  <c r="AW234" i="1"/>
  <c r="J42" i="7"/>
  <c r="K20" i="7"/>
  <c r="K21" i="7"/>
  <c r="K8" i="2"/>
  <c r="K9" i="2" s="1"/>
  <c r="Y319" i="1"/>
  <c r="Y324" i="1"/>
  <c r="W337" i="1"/>
  <c r="W344" i="1"/>
  <c r="S377" i="1"/>
  <c r="S372" i="1"/>
  <c r="U324" i="1"/>
  <c r="U319" i="1"/>
  <c r="O94" i="1"/>
  <c r="O96" i="1"/>
  <c r="O99" i="1"/>
  <c r="O95" i="1"/>
  <c r="S94" i="1"/>
  <c r="AP277" i="1"/>
  <c r="AP330" i="1"/>
  <c r="AP383" i="1"/>
  <c r="J247" i="1"/>
  <c r="J253" i="1"/>
  <c r="J260" i="1"/>
  <c r="N253" i="1"/>
  <c r="M291" i="1"/>
  <c r="M284" i="1"/>
  <c r="AX299" i="1"/>
  <c r="AX304" i="1" s="1"/>
  <c r="AX177" i="1"/>
  <c r="AX352" i="1"/>
  <c r="AX357" i="1" s="1"/>
  <c r="AA384" i="1"/>
  <c r="AA393" i="1"/>
  <c r="R165" i="1"/>
  <c r="R158" i="1"/>
  <c r="R153" i="1"/>
  <c r="R331" i="1"/>
  <c r="AV82" i="1"/>
  <c r="AV84" i="1" s="1"/>
  <c r="AV85" i="1" s="1"/>
  <c r="AV88" i="1"/>
  <c r="AQ156" i="1"/>
  <c r="AQ276" i="1"/>
  <c r="AQ283" i="1" s="1"/>
  <c r="AQ382" i="1"/>
  <c r="AI235" i="1"/>
  <c r="AI242" i="1"/>
  <c r="M37" i="326"/>
  <c r="M32" i="326"/>
  <c r="AW190" i="1"/>
  <c r="AW312" i="1"/>
  <c r="AW317" i="1" s="1"/>
  <c r="AW365" i="1"/>
  <c r="AW370" i="1" s="1"/>
  <c r="E247" i="1"/>
  <c r="E260" i="1"/>
  <c r="AP245" i="1"/>
  <c r="AE400" i="1"/>
  <c r="W343" i="1"/>
  <c r="W336" i="1"/>
  <c r="Q337" i="1"/>
  <c r="Q344" i="1"/>
  <c r="V343" i="1"/>
  <c r="V336" i="1"/>
  <c r="AC400" i="1"/>
  <c r="U290" i="1"/>
  <c r="Z85" i="1"/>
  <c r="P319" i="1"/>
  <c r="P324" i="1"/>
  <c r="Z384" i="1"/>
  <c r="Z393" i="1"/>
  <c r="AR156" i="1"/>
  <c r="AR276" i="1"/>
  <c r="AR283" i="1" s="1"/>
  <c r="AR329" i="1"/>
  <c r="AR382" i="1"/>
  <c r="J153" i="1"/>
  <c r="J165" i="1"/>
  <c r="J278" i="1"/>
  <c r="J292" i="1" s="1"/>
  <c r="J331" i="1"/>
  <c r="J345" i="1" s="1"/>
  <c r="Z319" i="1"/>
  <c r="Z324" i="1"/>
  <c r="Z100" i="1"/>
  <c r="Z102" i="1"/>
  <c r="Z108" i="1"/>
  <c r="Z111" i="1" s="1"/>
  <c r="Z101" i="1"/>
  <c r="AH376" i="1"/>
  <c r="AH371" i="1"/>
  <c r="AF84" i="1"/>
  <c r="AF85" i="1" s="1"/>
  <c r="Y283" i="1"/>
  <c r="Y290" i="1"/>
  <c r="AA337" i="1"/>
  <c r="AA344" i="1"/>
  <c r="Y372" i="1"/>
  <c r="Y377" i="1"/>
  <c r="AR192" i="1"/>
  <c r="AR314" i="1"/>
  <c r="AR319" i="1" s="1"/>
  <c r="AR367" i="1"/>
  <c r="AR372" i="1" s="1"/>
  <c r="E14" i="2"/>
  <c r="K377" i="1"/>
  <c r="AT482" i="1"/>
  <c r="AA394" i="1"/>
  <c r="AM357" i="1"/>
  <c r="AM362" i="1"/>
  <c r="Q336" i="1"/>
  <c r="Q343" i="1"/>
  <c r="AV94" i="1"/>
  <c r="AV96" i="1"/>
  <c r="AV95" i="1"/>
  <c r="AV99" i="1"/>
  <c r="AW227" i="1"/>
  <c r="AW235" i="1" s="1"/>
  <c r="AA18" i="216"/>
  <c r="AA14" i="216"/>
  <c r="AA15" i="216" s="1"/>
  <c r="AA400" i="1"/>
  <c r="R85" i="1"/>
  <c r="AE372" i="1"/>
  <c r="AE377" i="1"/>
  <c r="W290" i="1"/>
  <c r="AQ231" i="1"/>
  <c r="AG394" i="1"/>
  <c r="AC336" i="1"/>
  <c r="AC343" i="1"/>
  <c r="V290" i="1"/>
  <c r="AC319" i="1"/>
  <c r="AC324" i="1"/>
  <c r="AR157" i="1"/>
  <c r="AR277" i="1"/>
  <c r="AR284" i="1" s="1"/>
  <c r="AR330" i="1"/>
  <c r="AR337" i="1" s="1"/>
  <c r="AR383" i="1"/>
  <c r="AA100" i="1"/>
  <c r="AA102" i="1"/>
  <c r="AA108" i="1"/>
  <c r="AA111" i="1" s="1"/>
  <c r="AA101" i="1"/>
  <c r="N82" i="1"/>
  <c r="N84" i="1" s="1"/>
  <c r="N85" i="1" s="1"/>
  <c r="N88" i="1"/>
  <c r="AW186" i="1"/>
  <c r="AJ370" i="1"/>
  <c r="AT101" i="1"/>
  <c r="AT100" i="1"/>
  <c r="AT102" i="1"/>
  <c r="AT108" i="1"/>
  <c r="AT111" i="1" s="1"/>
  <c r="AA283" i="1"/>
  <c r="AA290" i="1"/>
  <c r="Q319" i="1"/>
  <c r="Q324" i="1"/>
  <c r="Z372" i="1"/>
  <c r="Z377" i="1"/>
  <c r="AT151" i="1"/>
  <c r="T158" i="1"/>
  <c r="T165" i="1"/>
  <c r="T153" i="1"/>
  <c r="T278" i="1"/>
  <c r="T331" i="1"/>
  <c r="AS157" i="1"/>
  <c r="AS383" i="1"/>
  <c r="AS394" i="1" s="1"/>
  <c r="AS330" i="1"/>
  <c r="K422" i="1"/>
  <c r="K444" i="1"/>
  <c r="K464" i="1"/>
  <c r="K493" i="1"/>
  <c r="AD337" i="1"/>
  <c r="AD344" i="1"/>
  <c r="W88" i="1"/>
  <c r="W82" i="1"/>
  <c r="W84" i="1" s="1"/>
  <c r="W85" i="1" s="1"/>
  <c r="R422" i="1"/>
  <c r="R433" i="1"/>
  <c r="R400" i="1"/>
  <c r="R444" i="1"/>
  <c r="R464" i="1"/>
  <c r="R493" i="1"/>
  <c r="AQ157" i="1"/>
  <c r="AQ277" i="1"/>
  <c r="AQ330" i="1"/>
  <c r="AQ383" i="1"/>
  <c r="AQ394" i="1" s="1"/>
  <c r="AC337" i="1"/>
  <c r="AC344" i="1"/>
  <c r="AM309" i="1"/>
  <c r="AM304" i="1"/>
  <c r="AQ370" i="1"/>
  <c r="AJ196" i="1"/>
  <c r="R393" i="1"/>
  <c r="R384" i="1"/>
  <c r="L10" i="326"/>
  <c r="AI250" i="1"/>
  <c r="AW250" i="1" s="1"/>
  <c r="AI263" i="1"/>
  <c r="L20" i="326" s="1"/>
  <c r="M20" i="326" s="1"/>
  <c r="N20" i="326" s="1"/>
  <c r="AI256" i="1"/>
  <c r="L15" i="326" s="1"/>
  <c r="M15" i="326" s="1"/>
  <c r="N15" i="326" s="1"/>
  <c r="AI249" i="1"/>
  <c r="AK389" i="1"/>
  <c r="AK192" i="1"/>
  <c r="AK197" i="1"/>
  <c r="AK314" i="1"/>
  <c r="AK367" i="1"/>
  <c r="AW248" i="1"/>
  <c r="AA372" i="1"/>
  <c r="AA377" i="1"/>
  <c r="AG85" i="1"/>
  <c r="J108" i="1"/>
  <c r="J111" i="1" s="1"/>
  <c r="J101" i="1"/>
  <c r="H247" i="1"/>
  <c r="H253" i="1"/>
  <c r="H260" i="1"/>
  <c r="AQ245" i="1"/>
  <c r="L253" i="1"/>
  <c r="AF165" i="1"/>
  <c r="AF158" i="1"/>
  <c r="AF153" i="1"/>
  <c r="AF278" i="1"/>
  <c r="AF331" i="1"/>
  <c r="AU101" i="1"/>
  <c r="AU100" i="1"/>
  <c r="AU102" i="1"/>
  <c r="AU108" i="1"/>
  <c r="AU111" i="1" s="1"/>
  <c r="AC283" i="1"/>
  <c r="AC290" i="1"/>
  <c r="AC372" i="1"/>
  <c r="AC377" i="1"/>
  <c r="L405" i="1"/>
  <c r="L394" i="1"/>
  <c r="U158" i="1"/>
  <c r="U165" i="1"/>
  <c r="U278" i="1"/>
  <c r="U153" i="1"/>
  <c r="U331" i="1"/>
  <c r="AG400" i="1"/>
  <c r="N400" i="1"/>
  <c r="N422" i="1"/>
  <c r="N433" i="1"/>
  <c r="N444" i="1"/>
  <c r="N493" i="1"/>
  <c r="N464" i="1"/>
  <c r="Y336" i="1"/>
  <c r="Y343" i="1"/>
  <c r="M422" i="1"/>
  <c r="M400" i="1"/>
  <c r="M433" i="1"/>
  <c r="M444" i="1"/>
  <c r="M464" i="1"/>
  <c r="M493" i="1"/>
  <c r="AX234" i="1"/>
  <c r="K42" i="7"/>
  <c r="O405" i="1"/>
  <c r="O394" i="1"/>
  <c r="AM448" i="1"/>
  <c r="AX448" i="1" s="1"/>
  <c r="AI458" i="1"/>
  <c r="AJ458" i="1"/>
  <c r="R343" i="1"/>
  <c r="R336" i="1"/>
  <c r="H68" i="2"/>
  <c r="H86" i="2"/>
  <c r="H69" i="2"/>
  <c r="H70" i="2"/>
  <c r="H107" i="2"/>
  <c r="W291" i="1"/>
  <c r="P336" i="1"/>
  <c r="P343" i="1"/>
  <c r="P405" i="1"/>
  <c r="P394" i="1"/>
  <c r="V337" i="1"/>
  <c r="V344" i="1"/>
  <c r="K324" i="1"/>
  <c r="AD284" i="1"/>
  <c r="AD291" i="1"/>
  <c r="K330" i="1"/>
  <c r="K344" i="1" s="1"/>
  <c r="R377" i="1"/>
  <c r="R372" i="1"/>
  <c r="AQ405" i="1"/>
  <c r="H404" i="1"/>
  <c r="AG336" i="1"/>
  <c r="AG343" i="1"/>
  <c r="AC291" i="1"/>
  <c r="AC284" i="1"/>
  <c r="O406" i="1"/>
  <c r="M405" i="1"/>
  <c r="M394" i="1"/>
  <c r="AA19" i="216"/>
  <c r="F70" i="2"/>
  <c r="F86" i="2"/>
  <c r="F69" i="2"/>
  <c r="F68" i="2"/>
  <c r="F107" i="2"/>
  <c r="O336" i="1"/>
  <c r="O343" i="1"/>
  <c r="AM185" i="1"/>
  <c r="AM248" i="1"/>
  <c r="AM241" i="1"/>
  <c r="AM228" i="1"/>
  <c r="AX228" i="1" s="1"/>
  <c r="AM186" i="1"/>
  <c r="AM227" i="1"/>
  <c r="AA319" i="1"/>
  <c r="AA324" i="1"/>
  <c r="AX248" i="1"/>
  <c r="I52" i="2"/>
  <c r="I57" i="2"/>
  <c r="I59" i="2" s="1"/>
  <c r="I108" i="2"/>
  <c r="AB125" i="2" s="1"/>
  <c r="I77" i="2"/>
  <c r="I53" i="2"/>
  <c r="I67" i="2"/>
  <c r="I54" i="2"/>
  <c r="I106" i="2"/>
  <c r="AE319" i="1"/>
  <c r="AE324" i="1"/>
  <c r="W153" i="1"/>
  <c r="W158" i="1"/>
  <c r="W165" i="1"/>
  <c r="W278" i="1"/>
  <c r="W331" i="1"/>
  <c r="AF384" i="1"/>
  <c r="AF393" i="1"/>
  <c r="AT157" i="1"/>
  <c r="AT277" i="1"/>
  <c r="AT330" i="1"/>
  <c r="AT337" i="1" s="1"/>
  <c r="AT383" i="1"/>
  <c r="AC158" i="1"/>
  <c r="AC153" i="1"/>
  <c r="AC165" i="1"/>
  <c r="AC278" i="1"/>
  <c r="AC331" i="1"/>
  <c r="V158" i="1"/>
  <c r="V165" i="1"/>
  <c r="V153" i="1"/>
  <c r="V278" i="1"/>
  <c r="V331" i="1"/>
  <c r="AA94" i="1"/>
  <c r="V95" i="1"/>
  <c r="V99" i="1"/>
  <c r="V94" i="1"/>
  <c r="V96" i="1"/>
  <c r="AG372" i="1"/>
  <c r="AG377" i="1"/>
  <c r="N94" i="1"/>
  <c r="N96" i="1"/>
  <c r="N95" i="1"/>
  <c r="N99" i="1"/>
  <c r="N372" i="1"/>
  <c r="N377" i="1"/>
  <c r="H12" i="92"/>
  <c r="Q400" i="1"/>
  <c r="Q422" i="1"/>
  <c r="Q433" i="1"/>
  <c r="Q444" i="1"/>
  <c r="Q493" i="1"/>
  <c r="Q464" i="1"/>
  <c r="I247" i="1"/>
  <c r="I253" i="1"/>
  <c r="I260" i="1"/>
  <c r="M253" i="1"/>
  <c r="AS192" i="1"/>
  <c r="AS367" i="1"/>
  <c r="AS314" i="1"/>
  <c r="F14" i="2"/>
  <c r="AU157" i="1"/>
  <c r="AU277" i="1"/>
  <c r="AU284" i="1" s="1"/>
  <c r="AU330" i="1"/>
  <c r="AU337" i="1" s="1"/>
  <c r="AU383" i="1"/>
  <c r="AU394" i="1" s="1"/>
  <c r="S96" i="2"/>
  <c r="T100" i="1"/>
  <c r="W394" i="1"/>
  <c r="AR231" i="1"/>
  <c r="AR267" i="1"/>
  <c r="K291" i="1"/>
  <c r="R319" i="1"/>
  <c r="R324" i="1"/>
  <c r="AH85" i="1"/>
  <c r="AG290" i="1"/>
  <c r="AG283" i="1"/>
  <c r="W487" i="1"/>
  <c r="Y85" i="1"/>
  <c r="W372" i="1"/>
  <c r="W377" i="1"/>
  <c r="R227" i="1"/>
  <c r="Z19" i="216"/>
  <c r="X283" i="1"/>
  <c r="X290" i="1"/>
  <c r="F60" i="2"/>
  <c r="F61" i="2" s="1"/>
  <c r="N238" i="1"/>
  <c r="N231" i="1"/>
  <c r="N267" i="1"/>
  <c r="AI187" i="1"/>
  <c r="AI190" i="1"/>
  <c r="AI195" i="1"/>
  <c r="AI365" i="1"/>
  <c r="R337" i="1"/>
  <c r="R344" i="1"/>
  <c r="N384" i="1"/>
  <c r="N393" i="1"/>
  <c r="AB337" i="1"/>
  <c r="AB344" i="1"/>
  <c r="Q394" i="1"/>
  <c r="T405" i="1"/>
  <c r="T394" i="1"/>
  <c r="U337" i="1"/>
  <c r="U344" i="1"/>
  <c r="U393" i="1"/>
  <c r="U384" i="1"/>
  <c r="AS487" i="1"/>
  <c r="AG319" i="1"/>
  <c r="AG324" i="1"/>
  <c r="N319" i="1"/>
  <c r="N324" i="1"/>
  <c r="AW453" i="1"/>
  <c r="AB283" i="1"/>
  <c r="AB290" i="1"/>
  <c r="AD94" i="1"/>
  <c r="AD96" i="1"/>
  <c r="AD95" i="1"/>
  <c r="AD99" i="1"/>
  <c r="O487" i="1"/>
  <c r="S487" i="1"/>
  <c r="Q377" i="1"/>
  <c r="Q372" i="1"/>
  <c r="R100" i="1"/>
  <c r="R108" i="1"/>
  <c r="R111" i="1" s="1"/>
  <c r="R101" i="1"/>
  <c r="R102" i="1"/>
  <c r="AV156" i="1"/>
  <c r="AV276" i="1"/>
  <c r="AV283" i="1" s="1"/>
  <c r="AV382" i="1"/>
  <c r="AV329" i="1"/>
  <c r="AV336" i="1" s="1"/>
  <c r="X405" i="1"/>
  <c r="X394" i="1"/>
  <c r="N41" i="194"/>
  <c r="O41" i="194"/>
  <c r="V291" i="1"/>
  <c r="S343" i="1"/>
  <c r="S336" i="1"/>
  <c r="W444" i="1"/>
  <c r="W464" i="1"/>
  <c r="W433" i="1"/>
  <c r="W400" i="1"/>
  <c r="W422" i="1"/>
  <c r="W493" i="1"/>
  <c r="AM409" i="1"/>
  <c r="AM398" i="1"/>
  <c r="AX387" i="1"/>
  <c r="AX398" i="1" s="1"/>
  <c r="Y19" i="216"/>
  <c r="AR489" i="1"/>
  <c r="X343" i="1"/>
  <c r="X336" i="1"/>
  <c r="Q153" i="1"/>
  <c r="Q158" i="1"/>
  <c r="Q165" i="1"/>
  <c r="Q331" i="1"/>
  <c r="X377" i="1"/>
  <c r="X372" i="1"/>
  <c r="AQ389" i="1"/>
  <c r="H464" i="1"/>
  <c r="H422" i="1"/>
  <c r="H493" i="1"/>
  <c r="V377" i="1"/>
  <c r="V372" i="1"/>
  <c r="Y337" i="1"/>
  <c r="Y344" i="1"/>
  <c r="AJ271" i="1"/>
  <c r="AJ257" i="1"/>
  <c r="AT317" i="1"/>
  <c r="W384" i="1"/>
  <c r="W393" i="1"/>
  <c r="N336" i="1"/>
  <c r="N343" i="1"/>
  <c r="AB291" i="1"/>
  <c r="AB284" i="1"/>
  <c r="AE82" i="1"/>
  <c r="AE84" i="1" s="1"/>
  <c r="AE85" i="1" s="1"/>
  <c r="AE88" i="1"/>
  <c r="T377" i="1"/>
  <c r="T372" i="1"/>
  <c r="G14" i="56"/>
  <c r="V384" i="1"/>
  <c r="V393" i="1"/>
  <c r="U291" i="1"/>
  <c r="I444" i="1"/>
  <c r="I464" i="1"/>
  <c r="I422" i="1"/>
  <c r="I493" i="1"/>
  <c r="I330" i="1"/>
  <c r="I344" i="1" s="1"/>
  <c r="V88" i="1"/>
  <c r="V82" i="1"/>
  <c r="V84" i="1" s="1"/>
  <c r="V85" i="1" s="1"/>
  <c r="AE337" i="1"/>
  <c r="AE344" i="1"/>
  <c r="Z400" i="1"/>
  <c r="Z464" i="1"/>
  <c r="AE283" i="1"/>
  <c r="AE290" i="1"/>
  <c r="L319" i="1"/>
  <c r="L324" i="1"/>
  <c r="S405" i="1"/>
  <c r="S394" i="1"/>
  <c r="AG337" i="1"/>
  <c r="AG344" i="1"/>
  <c r="D28" i="7"/>
  <c r="D50" i="7"/>
  <c r="D52" i="7"/>
  <c r="N36" i="7"/>
  <c r="N27" i="7" s="1"/>
  <c r="O12" i="2"/>
  <c r="G247" i="1"/>
  <c r="G260" i="1"/>
  <c r="K153" i="1"/>
  <c r="K165" i="1"/>
  <c r="K278" i="1"/>
  <c r="K292" i="1" s="1"/>
  <c r="K331" i="1"/>
  <c r="K345" i="1" s="1"/>
  <c r="AV389" i="1"/>
  <c r="AV464" i="1" s="1"/>
  <c r="AB400" i="1"/>
  <c r="AB464" i="1"/>
  <c r="AB319" i="1"/>
  <c r="AB324" i="1"/>
  <c r="T393" i="1"/>
  <c r="T384" i="1"/>
  <c r="I108" i="1"/>
  <c r="I111" i="1" s="1"/>
  <c r="I101" i="1"/>
  <c r="AD394" i="1"/>
  <c r="K438" i="1"/>
  <c r="K404" i="1"/>
  <c r="AF94" i="1"/>
  <c r="AF96" i="1"/>
  <c r="AF95" i="1"/>
  <c r="AF99" i="1"/>
  <c r="AC394" i="1"/>
  <c r="AC101" i="1"/>
  <c r="AC100" i="1"/>
  <c r="AC102" i="1"/>
  <c r="AC108" i="1"/>
  <c r="AC111" i="1" s="1"/>
  <c r="AF337" i="1"/>
  <c r="AF344" i="1"/>
  <c r="W324" i="1"/>
  <c r="W319" i="1"/>
  <c r="G69" i="2"/>
  <c r="G68" i="2"/>
  <c r="G70" i="2"/>
  <c r="G86" i="2"/>
  <c r="G107" i="2"/>
  <c r="AV454" i="1"/>
  <c r="Z336" i="1"/>
  <c r="Z343" i="1"/>
  <c r="Q393" i="1"/>
  <c r="Q384" i="1"/>
  <c r="O165" i="1"/>
  <c r="O158" i="1"/>
  <c r="O153" i="1"/>
  <c r="O278" i="1"/>
  <c r="O331" i="1"/>
  <c r="X400" i="1"/>
  <c r="AU389" i="1"/>
  <c r="AU400" i="1" s="1"/>
  <c r="X444" i="1"/>
  <c r="X464" i="1"/>
  <c r="X422" i="1"/>
  <c r="X433" i="1"/>
  <c r="X493" i="1"/>
  <c r="V444" i="1"/>
  <c r="V464" i="1"/>
  <c r="V422" i="1"/>
  <c r="V433" i="1"/>
  <c r="V493" i="1"/>
  <c r="V400" i="1"/>
  <c r="AH257" i="1"/>
  <c r="K16" i="326" s="1"/>
  <c r="AH264" i="1"/>
  <c r="K21" i="326" s="1"/>
  <c r="AH271" i="1"/>
  <c r="AH64" i="1"/>
  <c r="AH70" i="1"/>
  <c r="Y291" i="1"/>
  <c r="Y284" i="1"/>
  <c r="O422" i="1"/>
  <c r="O433" i="1"/>
  <c r="O400" i="1"/>
  <c r="O444" i="1"/>
  <c r="O493" i="1"/>
  <c r="O464" i="1"/>
  <c r="AF400" i="1"/>
  <c r="AF464" i="1"/>
  <c r="AT370" i="1"/>
  <c r="N276" i="1"/>
  <c r="AT389" i="1"/>
  <c r="T464" i="1"/>
  <c r="T422" i="1"/>
  <c r="T433" i="1"/>
  <c r="T444" i="1"/>
  <c r="T493" i="1"/>
  <c r="T400" i="1"/>
  <c r="AC384" i="1"/>
  <c r="AC393" i="1"/>
  <c r="I324" i="1"/>
  <c r="I291" i="1"/>
  <c r="AE284" i="1"/>
  <c r="AE291" i="1"/>
  <c r="N32" i="326"/>
  <c r="N37" i="326"/>
  <c r="E70" i="2"/>
  <c r="E86" i="2"/>
  <c r="E69" i="2"/>
  <c r="E107" i="2"/>
  <c r="P223" i="1"/>
  <c r="P278" i="1" s="1"/>
  <c r="P269" i="1"/>
  <c r="P233" i="1"/>
  <c r="P240" i="1"/>
  <c r="T233" i="1"/>
  <c r="L337" i="1"/>
  <c r="L344" i="1"/>
  <c r="N44" i="194"/>
  <c r="O44" i="194"/>
  <c r="N45" i="194"/>
  <c r="L393" i="1"/>
  <c r="L384" i="1"/>
  <c r="I290" i="1"/>
  <c r="AH108" i="1"/>
  <c r="AH111" i="1" s="1"/>
  <c r="AH101" i="1"/>
  <c r="AH100" i="1"/>
  <c r="AH102" i="1"/>
  <c r="V405" i="1"/>
  <c r="Z405" i="1" s="1"/>
  <c r="V394" i="1"/>
  <c r="AG153" i="1"/>
  <c r="AG158" i="1"/>
  <c r="AG278" i="1"/>
  <c r="AG165" i="1"/>
  <c r="AG331" i="1"/>
  <c r="AF291" i="1"/>
  <c r="AF284" i="1"/>
  <c r="J384" i="1"/>
  <c r="N487" i="1"/>
  <c r="X153" i="1"/>
  <c r="AU151" i="1"/>
  <c r="X158" i="1"/>
  <c r="X165" i="1"/>
  <c r="X278" i="1"/>
  <c r="X331" i="1"/>
  <c r="Z283" i="1"/>
  <c r="Z290" i="1"/>
  <c r="I53" i="7"/>
  <c r="X319" i="1"/>
  <c r="X324" i="1"/>
  <c r="AQ192" i="1"/>
  <c r="AQ367" i="1"/>
  <c r="AQ372" i="1" s="1"/>
  <c r="AQ314" i="1"/>
  <c r="AQ319" i="1" s="1"/>
  <c r="D14" i="2"/>
  <c r="V319" i="1"/>
  <c r="V324" i="1"/>
  <c r="O372" i="1"/>
  <c r="O377" i="1"/>
  <c r="AF372" i="1"/>
  <c r="AF377" i="1"/>
  <c r="O238" i="1"/>
  <c r="O267" i="1"/>
  <c r="O231" i="1"/>
  <c r="AD336" i="1"/>
  <c r="AD343" i="1"/>
  <c r="AE94" i="1"/>
  <c r="AE96" i="1"/>
  <c r="AE95" i="1"/>
  <c r="AE99" i="1"/>
  <c r="T319" i="1"/>
  <c r="T324" i="1"/>
  <c r="AS85" i="1"/>
  <c r="U394" i="1"/>
  <c r="I377" i="1"/>
  <c r="M101" i="1"/>
  <c r="M100" i="1"/>
  <c r="M102" i="1"/>
  <c r="M108" i="1"/>
  <c r="M111" i="1" s="1"/>
  <c r="I60" i="2" l="1"/>
  <c r="I61" i="2" s="1"/>
  <c r="I62" i="2"/>
  <c r="AX453" i="1"/>
  <c r="Z416" i="1"/>
  <c r="AD405" i="1"/>
  <c r="P285" i="1"/>
  <c r="P292" i="1"/>
  <c r="AI370" i="1"/>
  <c r="AI375" i="1"/>
  <c r="W292" i="1"/>
  <c r="AI264" i="1"/>
  <c r="L21" i="326" s="1"/>
  <c r="M21" i="326" s="1"/>
  <c r="N21" i="326" s="1"/>
  <c r="AI271" i="1"/>
  <c r="AI257" i="1"/>
  <c r="L16" i="326" s="1"/>
  <c r="M16" i="326" s="1"/>
  <c r="N16" i="326" s="1"/>
  <c r="AE386" i="1"/>
  <c r="AE395" i="1"/>
  <c r="N167" i="1"/>
  <c r="N160" i="1"/>
  <c r="N280" i="1"/>
  <c r="N333" i="1"/>
  <c r="N404" i="1"/>
  <c r="N428" i="1"/>
  <c r="N417" i="1"/>
  <c r="R428" i="1"/>
  <c r="N439" i="1"/>
  <c r="AR406" i="1"/>
  <c r="Z292" i="1"/>
  <c r="Z285" i="1"/>
  <c r="AW389" i="1"/>
  <c r="AW400" i="1" s="1"/>
  <c r="E109" i="2"/>
  <c r="X124" i="2" s="1"/>
  <c r="E90" i="2"/>
  <c r="K415" i="1"/>
  <c r="K437" i="1"/>
  <c r="D13" i="2"/>
  <c r="D11" i="2" s="1"/>
  <c r="D45" i="7"/>
  <c r="L386" i="1"/>
  <c r="L395" i="1"/>
  <c r="L428" i="1"/>
  <c r="L417" i="1"/>
  <c r="L439" i="1"/>
  <c r="AT400" i="1"/>
  <c r="AT464" i="1"/>
  <c r="AT493" i="1"/>
  <c r="AT422" i="1"/>
  <c r="AT433" i="1"/>
  <c r="N283" i="1"/>
  <c r="N290" i="1"/>
  <c r="O345" i="1"/>
  <c r="O338" i="1"/>
  <c r="K167" i="1"/>
  <c r="K280" i="1"/>
  <c r="K333" i="1"/>
  <c r="AJ264" i="1"/>
  <c r="I27" i="220"/>
  <c r="V345" i="1"/>
  <c r="V338" i="1"/>
  <c r="AX270" i="1"/>
  <c r="AX256" i="1"/>
  <c r="AQ337" i="1"/>
  <c r="AT487" i="1"/>
  <c r="AP253" i="1"/>
  <c r="AP267" i="1"/>
  <c r="R338" i="1"/>
  <c r="R345" i="1"/>
  <c r="J33" i="1"/>
  <c r="J249" i="1"/>
  <c r="N255" i="1"/>
  <c r="J262" i="1"/>
  <c r="J269" i="1"/>
  <c r="J255" i="1"/>
  <c r="Y160" i="1"/>
  <c r="Y167" i="1"/>
  <c r="Y280" i="1"/>
  <c r="Y333" i="1"/>
  <c r="N27" i="220"/>
  <c r="AA345" i="1"/>
  <c r="AA338" i="1"/>
  <c r="K388" i="1"/>
  <c r="K419" i="1"/>
  <c r="M292" i="1"/>
  <c r="M285" i="1"/>
  <c r="AE292" i="1"/>
  <c r="AE285" i="1"/>
  <c r="M386" i="1"/>
  <c r="M395" i="1"/>
  <c r="M428" i="1"/>
  <c r="M417" i="1"/>
  <c r="M439" i="1"/>
  <c r="I24" i="2"/>
  <c r="I13" i="2"/>
  <c r="I45" i="7"/>
  <c r="AT319" i="1"/>
  <c r="N292" i="1"/>
  <c r="N285" i="1"/>
  <c r="O386" i="1"/>
  <c r="O395" i="1"/>
  <c r="I292" i="1"/>
  <c r="O167" i="1"/>
  <c r="O280" i="1"/>
  <c r="O160" i="1"/>
  <c r="O333" i="1"/>
  <c r="M27" i="220"/>
  <c r="Z345" i="1"/>
  <c r="Z338" i="1"/>
  <c r="I167" i="1"/>
  <c r="I280" i="1"/>
  <c r="I294" i="1" s="1"/>
  <c r="I333" i="1"/>
  <c r="I347" i="1" s="1"/>
  <c r="F24" i="2"/>
  <c r="F45" i="7"/>
  <c r="F13" i="2"/>
  <c r="F42" i="2"/>
  <c r="AW249" i="1"/>
  <c r="AE101" i="1"/>
  <c r="AE100" i="1"/>
  <c r="AE102" i="1"/>
  <c r="AE108" i="1"/>
  <c r="AE111" i="1" s="1"/>
  <c r="J386" i="1"/>
  <c r="J417" i="1"/>
  <c r="J439" i="1"/>
  <c r="O292" i="1"/>
  <c r="O285" i="1"/>
  <c r="Q167" i="1"/>
  <c r="Q160" i="1"/>
  <c r="Q333" i="1"/>
  <c r="V292" i="1"/>
  <c r="J27" i="220"/>
  <c r="W345" i="1"/>
  <c r="W338" i="1"/>
  <c r="L416" i="1"/>
  <c r="AR405" i="1"/>
  <c r="L438" i="1"/>
  <c r="L404" i="1"/>
  <c r="AQ253" i="1"/>
  <c r="AQ267" i="1"/>
  <c r="AR253" i="1"/>
  <c r="AK449" i="1"/>
  <c r="AK400" i="1"/>
  <c r="AK493" i="1"/>
  <c r="AQ284" i="1"/>
  <c r="AS337" i="1"/>
  <c r="AP394" i="1"/>
  <c r="AP405" i="1"/>
  <c r="F249" i="1"/>
  <c r="F262" i="1"/>
  <c r="F269" i="1"/>
  <c r="AJ372" i="1"/>
  <c r="AA285" i="1"/>
  <c r="AA292" i="1"/>
  <c r="AE167" i="1"/>
  <c r="AE160" i="1"/>
  <c r="AE280" i="1"/>
  <c r="AE333" i="1"/>
  <c r="AD167" i="1"/>
  <c r="AD160" i="1"/>
  <c r="AD280" i="1"/>
  <c r="AD333" i="1"/>
  <c r="AV372" i="1"/>
  <c r="AT372" i="1"/>
  <c r="X395" i="1"/>
  <c r="X386" i="1"/>
  <c r="G249" i="1"/>
  <c r="G262" i="1"/>
  <c r="G269" i="1"/>
  <c r="R160" i="1"/>
  <c r="R167" i="1"/>
  <c r="R333" i="1"/>
  <c r="S386" i="1"/>
  <c r="S395" i="1"/>
  <c r="AQ247" i="1"/>
  <c r="H249" i="1"/>
  <c r="H33" i="1"/>
  <c r="H255" i="1"/>
  <c r="H262" i="1"/>
  <c r="L255" i="1"/>
  <c r="H269" i="1"/>
  <c r="Q395" i="1"/>
  <c r="Q386" i="1"/>
  <c r="Q417" i="1"/>
  <c r="Q428" i="1"/>
  <c r="Q439" i="1"/>
  <c r="T395" i="1"/>
  <c r="T386" i="1"/>
  <c r="AD101" i="1"/>
  <c r="AD100" i="1"/>
  <c r="AD102" i="1"/>
  <c r="AD108" i="1"/>
  <c r="AD111" i="1" s="1"/>
  <c r="AI389" i="1"/>
  <c r="AI192" i="1"/>
  <c r="AI197" i="1"/>
  <c r="AI314" i="1"/>
  <c r="AI367" i="1"/>
  <c r="AJ377" i="1" s="1"/>
  <c r="AW187" i="1"/>
  <c r="AS319" i="1"/>
  <c r="N101" i="1"/>
  <c r="N100" i="1"/>
  <c r="N102" i="1"/>
  <c r="N108" i="1"/>
  <c r="N111" i="1" s="1"/>
  <c r="P27" i="220"/>
  <c r="AC345" i="1"/>
  <c r="AC338" i="1"/>
  <c r="W160" i="1"/>
  <c r="W167" i="1"/>
  <c r="W280" i="1"/>
  <c r="W333" i="1"/>
  <c r="G27" i="220"/>
  <c r="T345" i="1"/>
  <c r="T338" i="1"/>
  <c r="AJ375" i="1"/>
  <c r="AV101" i="1"/>
  <c r="AV100" i="1"/>
  <c r="AV102" i="1"/>
  <c r="AV108" i="1"/>
  <c r="AV111" i="1" s="1"/>
  <c r="W100" i="1"/>
  <c r="W102" i="1"/>
  <c r="W108" i="1"/>
  <c r="W111" i="1" s="1"/>
  <c r="W101" i="1"/>
  <c r="H388" i="1"/>
  <c r="H419" i="1"/>
  <c r="R11" i="7"/>
  <c r="Q13" i="7"/>
  <c r="Z160" i="1"/>
  <c r="Z167" i="1"/>
  <c r="Z280" i="1"/>
  <c r="Z333" i="1"/>
  <c r="AR158" i="1"/>
  <c r="AR278" i="1"/>
  <c r="AR331" i="1"/>
  <c r="AR338" i="1" s="1"/>
  <c r="W124" i="2"/>
  <c r="AQ111" i="1"/>
  <c r="AH319" i="1"/>
  <c r="AH324" i="1"/>
  <c r="AV394" i="1"/>
  <c r="L345" i="1"/>
  <c r="L338" i="1"/>
  <c r="T27" i="220"/>
  <c r="AG338" i="1"/>
  <c r="AG345" i="1"/>
  <c r="AS372" i="1"/>
  <c r="AC292" i="1"/>
  <c r="AC285" i="1"/>
  <c r="M10" i="326"/>
  <c r="N10" i="326" s="1"/>
  <c r="L11" i="326"/>
  <c r="M11" i="326" s="1"/>
  <c r="N11" i="326" s="1"/>
  <c r="T285" i="1"/>
  <c r="AA395" i="1"/>
  <c r="AA386" i="1"/>
  <c r="O101" i="1"/>
  <c r="O100" i="1"/>
  <c r="O102" i="1"/>
  <c r="O108" i="1"/>
  <c r="O111" i="1" s="1"/>
  <c r="S100" i="1"/>
  <c r="J51" i="7"/>
  <c r="J52" i="7"/>
  <c r="J53" i="7" s="1"/>
  <c r="AQ158" i="1"/>
  <c r="AQ278" i="1"/>
  <c r="AQ331" i="1"/>
  <c r="AJ449" i="1"/>
  <c r="AJ400" i="1"/>
  <c r="AJ493" i="1"/>
  <c r="AR153" i="1"/>
  <c r="L167" i="1"/>
  <c r="L160" i="1"/>
  <c r="L280" i="1"/>
  <c r="L333" i="1"/>
  <c r="AV337" i="1"/>
  <c r="AS400" i="1"/>
  <c r="AS422" i="1"/>
  <c r="AS433" i="1"/>
  <c r="AS464" i="1"/>
  <c r="AS493" i="1"/>
  <c r="AJ319" i="1"/>
  <c r="AJ324" i="1"/>
  <c r="AM235" i="1"/>
  <c r="AM242" i="1"/>
  <c r="AA167" i="1"/>
  <c r="AA160" i="1"/>
  <c r="AA280" i="1"/>
  <c r="AA333" i="1"/>
  <c r="L285" i="1"/>
  <c r="L292" i="1"/>
  <c r="AG285" i="1"/>
  <c r="AG292" i="1"/>
  <c r="X416" i="1"/>
  <c r="AM263" i="1"/>
  <c r="AM256" i="1"/>
  <c r="AM250" i="1"/>
  <c r="AX250" i="1" s="1"/>
  <c r="AM249" i="1"/>
  <c r="O404" i="1"/>
  <c r="O428" i="1"/>
  <c r="O417" i="1"/>
  <c r="O439" i="1"/>
  <c r="P439" i="1"/>
  <c r="P438" i="1"/>
  <c r="P416" i="1"/>
  <c r="P404" i="1"/>
  <c r="AM458" i="1"/>
  <c r="R395" i="1"/>
  <c r="R386" i="1"/>
  <c r="R417" i="1"/>
  <c r="R439" i="1"/>
  <c r="T160" i="1"/>
  <c r="AT153" i="1"/>
  <c r="T167" i="1"/>
  <c r="T280" i="1"/>
  <c r="T333" i="1"/>
  <c r="AW191" i="1"/>
  <c r="AW313" i="1"/>
  <c r="AW318" i="1" s="1"/>
  <c r="AW366" i="1"/>
  <c r="AW371" i="1" s="1"/>
  <c r="AQ153" i="1"/>
  <c r="H280" i="1"/>
  <c r="H333" i="1"/>
  <c r="R15" i="7"/>
  <c r="Q17" i="7"/>
  <c r="AR400" i="1"/>
  <c r="AR422" i="1"/>
  <c r="AR433" i="1"/>
  <c r="AR464" i="1"/>
  <c r="AR493" i="1"/>
  <c r="AU393" i="1"/>
  <c r="AU384" i="1"/>
  <c r="AV284" i="1"/>
  <c r="N416" i="1"/>
  <c r="N438" i="1"/>
  <c r="O290" i="1"/>
  <c r="V160" i="1"/>
  <c r="V167" i="1"/>
  <c r="V280" i="1"/>
  <c r="V333" i="1"/>
  <c r="E249" i="1"/>
  <c r="E262" i="1"/>
  <c r="E269" i="1"/>
  <c r="AP247" i="1"/>
  <c r="AM191" i="1"/>
  <c r="AM196" i="1"/>
  <c r="AM366" i="1"/>
  <c r="S160" i="1"/>
  <c r="S167" i="1"/>
  <c r="S333" i="1"/>
  <c r="AG167" i="1"/>
  <c r="AG160" i="1"/>
  <c r="AG280" i="1"/>
  <c r="AG333" i="1"/>
  <c r="K27" i="220"/>
  <c r="X345" i="1"/>
  <c r="X338" i="1"/>
  <c r="AC167" i="1"/>
  <c r="AC160" i="1"/>
  <c r="AC280" i="1"/>
  <c r="AC333" i="1"/>
  <c r="AM187" i="1"/>
  <c r="AM195" i="1"/>
  <c r="AM190" i="1"/>
  <c r="AM365" i="1"/>
  <c r="AX185" i="1"/>
  <c r="M337" i="1"/>
  <c r="O27" i="220"/>
  <c r="AB345" i="1"/>
  <c r="AB338" i="1"/>
  <c r="O284" i="1"/>
  <c r="O291" i="1"/>
  <c r="P386" i="1"/>
  <c r="P395" i="1"/>
  <c r="P417" i="1"/>
  <c r="P428" i="1"/>
  <c r="AL371" i="1"/>
  <c r="AL376" i="1"/>
  <c r="AG395" i="1"/>
  <c r="AG386" i="1"/>
  <c r="AS336" i="1"/>
  <c r="AC386" i="1"/>
  <c r="AC395" i="1"/>
  <c r="X285" i="1"/>
  <c r="X292" i="1"/>
  <c r="V416" i="1"/>
  <c r="AM431" i="1"/>
  <c r="AM442" i="1"/>
  <c r="AX409" i="1"/>
  <c r="AV384" i="1"/>
  <c r="AV393" i="1"/>
  <c r="T438" i="1"/>
  <c r="T416" i="1"/>
  <c r="O416" i="1"/>
  <c r="O438" i="1"/>
  <c r="AX186" i="1"/>
  <c r="J167" i="1"/>
  <c r="J333" i="1"/>
  <c r="J280" i="1"/>
  <c r="AH337" i="1"/>
  <c r="AH344" i="1"/>
  <c r="AL264" i="1"/>
  <c r="AL271" i="1"/>
  <c r="AL257" i="1"/>
  <c r="AB292" i="1"/>
  <c r="AB285" i="1"/>
  <c r="AV593" i="1"/>
  <c r="AV588" i="1"/>
  <c r="AV589" i="1"/>
  <c r="AV592" i="1"/>
  <c r="AA85" i="1"/>
  <c r="AX227" i="1"/>
  <c r="AX235" i="1" s="1"/>
  <c r="AH343" i="1"/>
  <c r="AH336" i="1"/>
  <c r="P345" i="1"/>
  <c r="P338" i="1"/>
  <c r="AS393" i="1"/>
  <c r="AS384" i="1"/>
  <c r="M416" i="1"/>
  <c r="M438" i="1"/>
  <c r="M404" i="1"/>
  <c r="AF101" i="1"/>
  <c r="AF100" i="1"/>
  <c r="AF108" i="1"/>
  <c r="AF111" i="1" s="1"/>
  <c r="AI111" i="1" s="1"/>
  <c r="AF102" i="1"/>
  <c r="AQ400" i="1"/>
  <c r="AQ433" i="1"/>
  <c r="AQ422" i="1"/>
  <c r="AQ464" i="1"/>
  <c r="AQ493" i="1"/>
  <c r="AT394" i="1"/>
  <c r="I68" i="2"/>
  <c r="I107" i="2"/>
  <c r="I86" i="2"/>
  <c r="I70" i="2"/>
  <c r="I69" i="2"/>
  <c r="K51" i="7"/>
  <c r="K52" i="7"/>
  <c r="K53" i="7" s="1"/>
  <c r="S27" i="220"/>
  <c r="AF345" i="1"/>
  <c r="AF338" i="1"/>
  <c r="AT158" i="1"/>
  <c r="AT278" i="1"/>
  <c r="AT331" i="1"/>
  <c r="AR384" i="1"/>
  <c r="AR393" i="1"/>
  <c r="AQ384" i="1"/>
  <c r="AQ393" i="1"/>
  <c r="AL370" i="1"/>
  <c r="AL375" i="1"/>
  <c r="AD620" i="1"/>
  <c r="AV616" i="1"/>
  <c r="AP384" i="1"/>
  <c r="AP393" i="1"/>
  <c r="AP400" i="1"/>
  <c r="AP464" i="1"/>
  <c r="AP422" i="1"/>
  <c r="AP433" i="1"/>
  <c r="AP493" i="1"/>
  <c r="P12" i="2"/>
  <c r="O36" i="7"/>
  <c r="O27" i="7" s="1"/>
  <c r="P238" i="1"/>
  <c r="P267" i="1"/>
  <c r="P231" i="1"/>
  <c r="T231" i="1"/>
  <c r="P277" i="1"/>
  <c r="P276" i="1"/>
  <c r="W395" i="1"/>
  <c r="W386" i="1"/>
  <c r="Q405" i="1"/>
  <c r="R438" i="1" s="1"/>
  <c r="I33" i="1"/>
  <c r="I249" i="1"/>
  <c r="M255" i="1"/>
  <c r="I262" i="1"/>
  <c r="I269" i="1"/>
  <c r="I255" i="1"/>
  <c r="H27" i="220"/>
  <c r="U345" i="1"/>
  <c r="U338" i="1"/>
  <c r="AF285" i="1"/>
  <c r="AF292" i="1"/>
  <c r="AQ329" i="1"/>
  <c r="AQ336" i="1" s="1"/>
  <c r="Q223" i="1"/>
  <c r="Q280" i="1" s="1"/>
  <c r="Q233" i="1"/>
  <c r="Q240" i="1"/>
  <c r="Q269" i="1"/>
  <c r="U233" i="1"/>
  <c r="AV158" i="1"/>
  <c r="AV278" i="1"/>
  <c r="AV331" i="1"/>
  <c r="AB405" i="1"/>
  <c r="AU464" i="1"/>
  <c r="AP329" i="1"/>
  <c r="AT384" i="1"/>
  <c r="AT393" i="1"/>
  <c r="I415" i="1"/>
  <c r="I437" i="1"/>
  <c r="AH165" i="1"/>
  <c r="AH153" i="1"/>
  <c r="AH158" i="1"/>
  <c r="AH278" i="1"/>
  <c r="AH331" i="1"/>
  <c r="R404" i="1"/>
  <c r="R416" i="1"/>
  <c r="AS153" i="1"/>
  <c r="P167" i="1"/>
  <c r="P160" i="1"/>
  <c r="P280" i="1"/>
  <c r="P333" i="1"/>
  <c r="M167" i="1"/>
  <c r="M160" i="1"/>
  <c r="M280" i="1"/>
  <c r="M333" i="1"/>
  <c r="I388" i="1"/>
  <c r="I419" i="1"/>
  <c r="I441" i="1"/>
  <c r="E28" i="7"/>
  <c r="E29" i="7" s="1"/>
  <c r="E24" i="7"/>
  <c r="E25" i="7"/>
  <c r="E50" i="7"/>
  <c r="E52" i="7"/>
  <c r="E53" i="7" s="1"/>
  <c r="AU158" i="1"/>
  <c r="AU331" i="1"/>
  <c r="AU338" i="1" s="1"/>
  <c r="AU278" i="1"/>
  <c r="AU285" i="1" s="1"/>
  <c r="G87" i="2"/>
  <c r="G109" i="2"/>
  <c r="Z124" i="2" s="1"/>
  <c r="G90" i="2"/>
  <c r="AV400" i="1"/>
  <c r="S438" i="1"/>
  <c r="S416" i="1"/>
  <c r="W405" i="1"/>
  <c r="H415" i="1"/>
  <c r="AQ404" i="1"/>
  <c r="U160" i="1"/>
  <c r="U167" i="1"/>
  <c r="U280" i="1"/>
  <c r="U333" i="1"/>
  <c r="AF167" i="1"/>
  <c r="AF160" i="1"/>
  <c r="AF280" i="1"/>
  <c r="AF333" i="1"/>
  <c r="AW256" i="1"/>
  <c r="AW270" i="1"/>
  <c r="AH405" i="1"/>
  <c r="AH394" i="1"/>
  <c r="K33" i="1"/>
  <c r="K249" i="1"/>
  <c r="O255" i="1"/>
  <c r="K262" i="1"/>
  <c r="K269" i="1"/>
  <c r="L262" i="1"/>
  <c r="K255" i="1"/>
  <c r="L27" i="220"/>
  <c r="Y345" i="1"/>
  <c r="Y338" i="1"/>
  <c r="AB167" i="1"/>
  <c r="AB160" i="1"/>
  <c r="AV153" i="1"/>
  <c r="AB280" i="1"/>
  <c r="AB333" i="1"/>
  <c r="H45" i="7"/>
  <c r="H24" i="2"/>
  <c r="H13" i="2"/>
  <c r="AS158" i="1"/>
  <c r="AS331" i="1"/>
  <c r="AS338" i="1" s="1"/>
  <c r="L343" i="1"/>
  <c r="E45" i="7"/>
  <c r="E24" i="2"/>
  <c r="E13" i="2"/>
  <c r="E42" i="2"/>
  <c r="U395" i="1"/>
  <c r="U386" i="1"/>
  <c r="AH372" i="1"/>
  <c r="AH377" i="1"/>
  <c r="AU153" i="1"/>
  <c r="X160" i="1"/>
  <c r="X167" i="1"/>
  <c r="X280" i="1"/>
  <c r="X333" i="1"/>
  <c r="Q338" i="1"/>
  <c r="Q345" i="1"/>
  <c r="R225" i="1"/>
  <c r="R235" i="1"/>
  <c r="R242" i="1"/>
  <c r="V235" i="1"/>
  <c r="R271" i="1"/>
  <c r="S227" i="1"/>
  <c r="AS227" i="1"/>
  <c r="V100" i="1"/>
  <c r="V102" i="1"/>
  <c r="V108" i="1"/>
  <c r="V111" i="1" s="1"/>
  <c r="V101" i="1"/>
  <c r="AQ427" i="1"/>
  <c r="AQ416" i="1"/>
  <c r="U292" i="1"/>
  <c r="AK372" i="1"/>
  <c r="AK377" i="1"/>
  <c r="AL389" i="1"/>
  <c r="AL192" i="1"/>
  <c r="AL197" i="1"/>
  <c r="AL314" i="1"/>
  <c r="AL367" i="1"/>
  <c r="AI277" i="1"/>
  <c r="AH284" i="1"/>
  <c r="AH291" i="1"/>
  <c r="Y285" i="1"/>
  <c r="Y292" i="1"/>
  <c r="AI376" i="1"/>
  <c r="AI371" i="1"/>
  <c r="O85" i="1"/>
  <c r="S85" i="1"/>
  <c r="AP153" i="1"/>
  <c r="AP278" i="1"/>
  <c r="AP331" i="1"/>
  <c r="AI276" i="1"/>
  <c r="AH290" i="1"/>
  <c r="AH283" i="1"/>
  <c r="T96" i="2"/>
  <c r="F87" i="2"/>
  <c r="F109" i="2"/>
  <c r="Y124" i="2" s="1"/>
  <c r="F90" i="2"/>
  <c r="AK324" i="1"/>
  <c r="AK319" i="1"/>
  <c r="AR394" i="1"/>
  <c r="Y395" i="1"/>
  <c r="Y386" i="1"/>
  <c r="AB395" i="1"/>
  <c r="AB386" i="1"/>
  <c r="AD395" i="1"/>
  <c r="AD386" i="1"/>
  <c r="K439" i="1"/>
  <c r="Q27" i="220"/>
  <c r="AD345" i="1"/>
  <c r="AD338" i="1"/>
  <c r="AH384" i="1"/>
  <c r="AH393" i="1"/>
  <c r="J415" i="1"/>
  <c r="J437" i="1"/>
  <c r="S338" i="1"/>
  <c r="S345" i="1"/>
  <c r="AH400" i="1"/>
  <c r="AH464" i="1"/>
  <c r="V395" i="1"/>
  <c r="V386" i="1"/>
  <c r="N386" i="1"/>
  <c r="N395" i="1"/>
  <c r="AF386" i="1"/>
  <c r="AF395" i="1"/>
  <c r="H87" i="2"/>
  <c r="H109" i="2"/>
  <c r="AA124" i="2" s="1"/>
  <c r="H90" i="2"/>
  <c r="Z395" i="1"/>
  <c r="Z386" i="1"/>
  <c r="M345" i="1"/>
  <c r="M338" i="1"/>
  <c r="R27" i="220"/>
  <c r="AE345" i="1"/>
  <c r="AE338" i="1"/>
  <c r="AD292" i="1"/>
  <c r="AD285" i="1"/>
  <c r="G24" i="2"/>
  <c r="G45" i="7"/>
  <c r="G42" i="2"/>
  <c r="G13" i="2"/>
  <c r="N345" i="1"/>
  <c r="N338" i="1"/>
  <c r="I345" i="1"/>
  <c r="Q294" i="1" l="1"/>
  <c r="Q287" i="1"/>
  <c r="AU160" i="1"/>
  <c r="AU280" i="1"/>
  <c r="AU333" i="1"/>
  <c r="Z397" i="1"/>
  <c r="Z388" i="1"/>
  <c r="X287" i="1"/>
  <c r="X294" i="1"/>
  <c r="AQ415" i="1"/>
  <c r="AG388" i="1"/>
  <c r="AG397" i="1"/>
  <c r="T340" i="1"/>
  <c r="T347" i="1"/>
  <c r="AA340" i="1"/>
  <c r="AA347" i="1"/>
  <c r="K390" i="1"/>
  <c r="K421" i="1"/>
  <c r="K463" i="1"/>
  <c r="K492" i="1"/>
  <c r="AE397" i="1"/>
  <c r="AE388" i="1"/>
  <c r="H11" i="2"/>
  <c r="H23" i="2"/>
  <c r="K257" i="1"/>
  <c r="K264" i="1"/>
  <c r="K271" i="1"/>
  <c r="K64" i="1"/>
  <c r="O257" i="1"/>
  <c r="L264" i="1"/>
  <c r="K70" i="1"/>
  <c r="K96" i="1"/>
  <c r="K102" i="1"/>
  <c r="R415" i="1"/>
  <c r="R426" i="1"/>
  <c r="V404" i="1"/>
  <c r="I264" i="1"/>
  <c r="I271" i="1"/>
  <c r="I257" i="1"/>
  <c r="I64" i="1"/>
  <c r="M257" i="1"/>
  <c r="I70" i="1"/>
  <c r="I96" i="1"/>
  <c r="I102" i="1"/>
  <c r="AU386" i="1"/>
  <c r="AU395" i="1"/>
  <c r="T287" i="1"/>
  <c r="AA287" i="1"/>
  <c r="AA294" i="1"/>
  <c r="AA397" i="1"/>
  <c r="AA388" i="1"/>
  <c r="S388" i="1"/>
  <c r="S397" i="1"/>
  <c r="AE340" i="1"/>
  <c r="AE347" i="1"/>
  <c r="I40" i="7"/>
  <c r="I44" i="7"/>
  <c r="I37" i="7" s="1"/>
  <c r="W438" i="1"/>
  <c r="W416" i="1"/>
  <c r="AA405" i="1"/>
  <c r="AB287" i="1"/>
  <c r="AB294" i="1"/>
  <c r="AH167" i="1"/>
  <c r="AH160" i="1"/>
  <c r="AH280" i="1"/>
  <c r="AH333" i="1"/>
  <c r="Q238" i="1"/>
  <c r="Q267" i="1"/>
  <c r="Q231" i="1"/>
  <c r="U231" i="1"/>
  <c r="Q276" i="1"/>
  <c r="Q277" i="1"/>
  <c r="Q278" i="1"/>
  <c r="AP395" i="1"/>
  <c r="AP386" i="1"/>
  <c r="AP417" i="1"/>
  <c r="AP428" i="1"/>
  <c r="M426" i="1"/>
  <c r="M415" i="1"/>
  <c r="M437" i="1"/>
  <c r="AV386" i="1"/>
  <c r="AV395" i="1"/>
  <c r="AP33" i="1"/>
  <c r="AP269" i="1"/>
  <c r="AP255" i="1"/>
  <c r="AM264" i="1"/>
  <c r="AM271" i="1"/>
  <c r="AM257" i="1"/>
  <c r="AX249" i="1"/>
  <c r="Y287" i="1"/>
  <c r="Y294" i="1"/>
  <c r="AR417" i="1"/>
  <c r="AR428" i="1"/>
  <c r="AH395" i="1"/>
  <c r="AH386" i="1"/>
  <c r="I35" i="1"/>
  <c r="M34" i="1"/>
  <c r="I36" i="1"/>
  <c r="AE294" i="1"/>
  <c r="AE287" i="1"/>
  <c r="AH285" i="1"/>
  <c r="AH292" i="1"/>
  <c r="I390" i="1"/>
  <c r="I463" i="1"/>
  <c r="I421" i="1"/>
  <c r="I443" i="1"/>
  <c r="I492" i="1"/>
  <c r="AF388" i="1"/>
  <c r="AF397" i="1"/>
  <c r="U96" i="2"/>
  <c r="AI150" i="1"/>
  <c r="AJ277" i="1"/>
  <c r="AI284" i="1"/>
  <c r="AS235" i="1"/>
  <c r="AT235" i="1"/>
  <c r="AS271" i="1"/>
  <c r="U388" i="1"/>
  <c r="U397" i="1"/>
  <c r="AV280" i="1"/>
  <c r="AV287" i="1" s="1"/>
  <c r="AV160" i="1"/>
  <c r="AV333" i="1"/>
  <c r="AV340" i="1" s="1"/>
  <c r="M340" i="1"/>
  <c r="M347" i="1"/>
  <c r="P283" i="1"/>
  <c r="P290" i="1"/>
  <c r="T283" i="1"/>
  <c r="AX420" i="1"/>
  <c r="AX431" i="1"/>
  <c r="AJ411" i="1"/>
  <c r="AJ454" i="1"/>
  <c r="AJ450" i="1"/>
  <c r="AR285" i="1"/>
  <c r="L415" i="1"/>
  <c r="AR404" i="1"/>
  <c r="L437" i="1"/>
  <c r="L426" i="1"/>
  <c r="AC340" i="1"/>
  <c r="AC347" i="1"/>
  <c r="I11" i="2"/>
  <c r="I23" i="2"/>
  <c r="G40" i="7"/>
  <c r="G44" i="7"/>
  <c r="G37" i="7" s="1"/>
  <c r="AL377" i="1"/>
  <c r="AL372" i="1"/>
  <c r="S242" i="1"/>
  <c r="S225" i="1"/>
  <c r="S235" i="1"/>
  <c r="T242" i="1"/>
  <c r="W235" i="1"/>
  <c r="S271" i="1"/>
  <c r="AF340" i="1"/>
  <c r="AF347" i="1"/>
  <c r="M287" i="1"/>
  <c r="M294" i="1"/>
  <c r="AR336" i="1"/>
  <c r="P291" i="1"/>
  <c r="P284" i="1"/>
  <c r="T284" i="1"/>
  <c r="AD86" i="1"/>
  <c r="AD113" i="1" s="1"/>
  <c r="AD622" i="1"/>
  <c r="AD625" i="1" s="1"/>
  <c r="AD87" i="1" s="1"/>
  <c r="AV620" i="1"/>
  <c r="P388" i="1"/>
  <c r="P397" i="1"/>
  <c r="P430" i="1"/>
  <c r="P419" i="1"/>
  <c r="P441" i="1"/>
  <c r="R388" i="1"/>
  <c r="R441" i="1"/>
  <c r="R397" i="1"/>
  <c r="R419" i="1"/>
  <c r="R430" i="1"/>
  <c r="AQ338" i="1"/>
  <c r="Q388" i="1"/>
  <c r="Q397" i="1"/>
  <c r="Q419" i="1"/>
  <c r="Q430" i="1"/>
  <c r="Q441" i="1"/>
  <c r="J388" i="1"/>
  <c r="J419" i="1"/>
  <c r="J441" i="1"/>
  <c r="AK411" i="1"/>
  <c r="AK459" i="1"/>
  <c r="AK454" i="1"/>
  <c r="AK450" i="1"/>
  <c r="H40" i="7"/>
  <c r="H44" i="7"/>
  <c r="H37" i="7" s="1"/>
  <c r="Q416" i="1"/>
  <c r="Q438" i="1"/>
  <c r="Q404" i="1"/>
  <c r="R437" i="1" s="1"/>
  <c r="U405" i="1"/>
  <c r="AT280" i="1"/>
  <c r="AT160" i="1"/>
  <c r="AT333" i="1"/>
  <c r="AL319" i="1"/>
  <c r="AL324" i="1"/>
  <c r="AF294" i="1"/>
  <c r="AF287" i="1"/>
  <c r="I87" i="2"/>
  <c r="I109" i="2"/>
  <c r="AB124" i="2" s="1"/>
  <c r="I90" i="2"/>
  <c r="AS395" i="1"/>
  <c r="AS386" i="1"/>
  <c r="E264" i="1"/>
  <c r="E271" i="1"/>
  <c r="AP249" i="1"/>
  <c r="AQ285" i="1"/>
  <c r="Z340" i="1"/>
  <c r="Z347" i="1"/>
  <c r="AW192" i="1"/>
  <c r="AW314" i="1"/>
  <c r="AW319" i="1" s="1"/>
  <c r="AW367" i="1"/>
  <c r="AW372" i="1" s="1"/>
  <c r="J14" i="2"/>
  <c r="G264" i="1"/>
  <c r="G271" i="1"/>
  <c r="AR427" i="1"/>
  <c r="AR416" i="1"/>
  <c r="O340" i="1"/>
  <c r="O347" i="1"/>
  <c r="AH416" i="1"/>
  <c r="V347" i="1"/>
  <c r="V340" i="1"/>
  <c r="S15" i="7"/>
  <c r="R17" i="7"/>
  <c r="Z287" i="1"/>
  <c r="Z294" i="1"/>
  <c r="AI377" i="1"/>
  <c r="AI372" i="1"/>
  <c r="X397" i="1"/>
  <c r="X388" i="1"/>
  <c r="M397" i="1"/>
  <c r="M388" i="1"/>
  <c r="M419" i="1"/>
  <c r="M430" i="1"/>
  <c r="M441" i="1"/>
  <c r="AG340" i="1"/>
  <c r="AG347" i="1"/>
  <c r="V294" i="1"/>
  <c r="X438" i="1"/>
  <c r="AI319" i="1"/>
  <c r="AI324" i="1"/>
  <c r="O294" i="1"/>
  <c r="O287" i="1"/>
  <c r="N437" i="1"/>
  <c r="N426" i="1"/>
  <c r="N415" i="1"/>
  <c r="AD416" i="1"/>
  <c r="G23" i="2"/>
  <c r="G11" i="2"/>
  <c r="G41" i="2"/>
  <c r="N397" i="1"/>
  <c r="N388" i="1"/>
  <c r="N441" i="1"/>
  <c r="N430" i="1"/>
  <c r="N419" i="1"/>
  <c r="P340" i="1"/>
  <c r="P347" i="1"/>
  <c r="AL449" i="1"/>
  <c r="AL400" i="1"/>
  <c r="AL493" i="1"/>
  <c r="E40" i="7"/>
  <c r="E44" i="7"/>
  <c r="E37" i="7" s="1"/>
  <c r="P294" i="1"/>
  <c r="P287" i="1"/>
  <c r="AQ395" i="1"/>
  <c r="AQ386" i="1"/>
  <c r="AQ417" i="1"/>
  <c r="AQ428" i="1"/>
  <c r="J294" i="1"/>
  <c r="AG294" i="1"/>
  <c r="AG287" i="1"/>
  <c r="F264" i="1"/>
  <c r="F271" i="1"/>
  <c r="K347" i="1"/>
  <c r="L397" i="1"/>
  <c r="L388" i="1"/>
  <c r="L430" i="1"/>
  <c r="L419" i="1"/>
  <c r="L441" i="1"/>
  <c r="N340" i="1"/>
  <c r="N347" i="1"/>
  <c r="AR160" i="1"/>
  <c r="AR280" i="1"/>
  <c r="AR333" i="1"/>
  <c r="AC287" i="1"/>
  <c r="AC294" i="1"/>
  <c r="O437" i="1"/>
  <c r="O426" i="1"/>
  <c r="O415" i="1"/>
  <c r="S404" i="1"/>
  <c r="V388" i="1"/>
  <c r="V397" i="1"/>
  <c r="E23" i="2"/>
  <c r="E11" i="2"/>
  <c r="E41" i="2"/>
  <c r="AI149" i="1"/>
  <c r="AJ276" i="1"/>
  <c r="AI283" i="1"/>
  <c r="J347" i="1"/>
  <c r="AQ160" i="1"/>
  <c r="AQ280" i="1"/>
  <c r="AQ287" i="1" s="1"/>
  <c r="AQ333" i="1"/>
  <c r="P437" i="1"/>
  <c r="P426" i="1"/>
  <c r="AS404" i="1"/>
  <c r="P415" i="1"/>
  <c r="T404" i="1"/>
  <c r="W347" i="1"/>
  <c r="W340" i="1"/>
  <c r="AP404" i="1"/>
  <c r="AQ426" i="1" s="1"/>
  <c r="AP427" i="1"/>
  <c r="AW257" i="1"/>
  <c r="BA249" i="1"/>
  <c r="AW271" i="1"/>
  <c r="J264" i="1"/>
  <c r="J271" i="1"/>
  <c r="J257" i="1"/>
  <c r="J64" i="1"/>
  <c r="N257" i="1"/>
  <c r="J70" i="1"/>
  <c r="J96" i="1"/>
  <c r="J102" i="1"/>
  <c r="K294" i="1"/>
  <c r="D40" i="7"/>
  <c r="D44" i="7"/>
  <c r="D37" i="7" s="1"/>
  <c r="D35" i="7" s="1"/>
  <c r="D31" i="7" s="1"/>
  <c r="D33" i="7" s="1"/>
  <c r="N287" i="1"/>
  <c r="N294" i="1"/>
  <c r="K35" i="1"/>
  <c r="K36" i="1"/>
  <c r="L35" i="1"/>
  <c r="O34" i="1"/>
  <c r="AM376" i="1"/>
  <c r="AM371" i="1"/>
  <c r="AP280" i="1"/>
  <c r="AP333" i="1"/>
  <c r="U294" i="1"/>
  <c r="U287" i="1"/>
  <c r="AB416" i="1"/>
  <c r="AB438" i="1"/>
  <c r="AF405" i="1"/>
  <c r="AR395" i="1"/>
  <c r="AR386" i="1"/>
  <c r="S11" i="7"/>
  <c r="R13" i="7"/>
  <c r="W294" i="1"/>
  <c r="AI449" i="1"/>
  <c r="AJ459" i="1" s="1"/>
  <c r="AI411" i="1"/>
  <c r="AI400" i="1"/>
  <c r="H36" i="1"/>
  <c r="L37" i="1" s="1"/>
  <c r="L34" i="1"/>
  <c r="AD340" i="1"/>
  <c r="AD347" i="1"/>
  <c r="J35" i="1"/>
  <c r="J36" i="1"/>
  <c r="N34" i="1"/>
  <c r="U27" i="220"/>
  <c r="AH338" i="1"/>
  <c r="AH345" i="1"/>
  <c r="AM389" i="1"/>
  <c r="AM192" i="1"/>
  <c r="AM197" i="1"/>
  <c r="AM314" i="1"/>
  <c r="AM367" i="1"/>
  <c r="AX187" i="1"/>
  <c r="R340" i="1"/>
  <c r="R347" i="1"/>
  <c r="AB340" i="1"/>
  <c r="AB347" i="1"/>
  <c r="W397" i="1"/>
  <c r="W388" i="1"/>
  <c r="Y340" i="1"/>
  <c r="Y347" i="1"/>
  <c r="AB397" i="1"/>
  <c r="AB388" i="1"/>
  <c r="R223" i="1"/>
  <c r="R233" i="1"/>
  <c r="R240" i="1"/>
  <c r="R269" i="1"/>
  <c r="V233" i="1"/>
  <c r="AS225" i="1"/>
  <c r="U340" i="1"/>
  <c r="U347" i="1"/>
  <c r="Y388" i="1"/>
  <c r="Y397" i="1"/>
  <c r="AS160" i="1"/>
  <c r="AS333" i="1"/>
  <c r="AS340" i="1" s="1"/>
  <c r="AV338" i="1"/>
  <c r="Q12" i="2"/>
  <c r="P36" i="7"/>
  <c r="P27" i="7" s="1"/>
  <c r="AT338" i="1"/>
  <c r="AX191" i="1"/>
  <c r="AX313" i="1"/>
  <c r="AX318" i="1" s="1"/>
  <c r="AX366" i="1"/>
  <c r="AX371" i="1" s="1"/>
  <c r="AC397" i="1"/>
  <c r="AC388" i="1"/>
  <c r="AX190" i="1"/>
  <c r="AX312" i="1"/>
  <c r="AX317" i="1" s="1"/>
  <c r="AX365" i="1"/>
  <c r="AX370" i="1" s="1"/>
  <c r="S340" i="1"/>
  <c r="S347" i="1"/>
  <c r="L340" i="1"/>
  <c r="L347" i="1"/>
  <c r="AQ249" i="1"/>
  <c r="H264" i="1"/>
  <c r="H271" i="1"/>
  <c r="H257" i="1"/>
  <c r="H64" i="1"/>
  <c r="H70" i="1"/>
  <c r="L257" i="1"/>
  <c r="H96" i="1"/>
  <c r="H102" i="1"/>
  <c r="AD287" i="1"/>
  <c r="AD294" i="1"/>
  <c r="F11" i="2"/>
  <c r="F23" i="2"/>
  <c r="F41" i="2"/>
  <c r="O397" i="1"/>
  <c r="O388" i="1"/>
  <c r="O441" i="1"/>
  <c r="O419" i="1"/>
  <c r="O430" i="1"/>
  <c r="K441" i="1"/>
  <c r="T388" i="1"/>
  <c r="T397" i="1"/>
  <c r="AD388" i="1"/>
  <c r="AD397" i="1"/>
  <c r="AT386" i="1"/>
  <c r="AT395" i="1"/>
  <c r="X347" i="1"/>
  <c r="X340" i="1"/>
  <c r="AV285" i="1"/>
  <c r="AM370" i="1"/>
  <c r="AM375" i="1"/>
  <c r="AS405" i="1"/>
  <c r="L287" i="1"/>
  <c r="L294" i="1"/>
  <c r="H390" i="1"/>
  <c r="H463" i="1"/>
  <c r="H421" i="1"/>
  <c r="H492" i="1"/>
  <c r="AQ33" i="1"/>
  <c r="AQ269" i="1"/>
  <c r="AQ255" i="1"/>
  <c r="AR255" i="1"/>
  <c r="D19" i="7"/>
  <c r="Q340" i="1"/>
  <c r="Q347" i="1"/>
  <c r="F40" i="7"/>
  <c r="F41" i="7" s="1"/>
  <c r="F44" i="7"/>
  <c r="F37" i="7" s="1"/>
  <c r="H41" i="7" l="1"/>
  <c r="M399" i="1"/>
  <c r="M390" i="1"/>
  <c r="M463" i="1"/>
  <c r="M443" i="1"/>
  <c r="M421" i="1"/>
  <c r="M432" i="1"/>
  <c r="M492" i="1"/>
  <c r="J38" i="1"/>
  <c r="N37" i="1"/>
  <c r="F18" i="2"/>
  <c r="F21" i="2"/>
  <c r="F105" i="2"/>
  <c r="Y390" i="1"/>
  <c r="Y421" i="1"/>
  <c r="Y432" i="1"/>
  <c r="Y399" i="1"/>
  <c r="Y443" i="1"/>
  <c r="Y463" i="1"/>
  <c r="Y492" i="1"/>
  <c r="V390" i="1"/>
  <c r="V399" i="1"/>
  <c r="V463" i="1"/>
  <c r="V443" i="1"/>
  <c r="V421" i="1"/>
  <c r="V432" i="1"/>
  <c r="V492" i="1"/>
  <c r="AK444" i="1"/>
  <c r="AK422" i="1"/>
  <c r="Q284" i="1"/>
  <c r="Q291" i="1"/>
  <c r="U284" i="1"/>
  <c r="I41" i="7"/>
  <c r="AG390" i="1"/>
  <c r="AG399" i="1"/>
  <c r="AG463" i="1"/>
  <c r="AF416" i="1"/>
  <c r="AK44" i="1"/>
  <c r="AK455" i="1"/>
  <c r="AK460" i="1"/>
  <c r="AS426" i="1"/>
  <c r="AS415" i="1"/>
  <c r="S437" i="1"/>
  <c r="S406" i="1"/>
  <c r="S415" i="1"/>
  <c r="W404" i="1"/>
  <c r="AL411" i="1"/>
  <c r="AL459" i="1"/>
  <c r="AL454" i="1"/>
  <c r="AL450" i="1"/>
  <c r="J45" i="7"/>
  <c r="J40" i="7" s="1"/>
  <c r="J41" i="7" s="1"/>
  <c r="J24" i="2"/>
  <c r="I445" i="1"/>
  <c r="I423" i="1"/>
  <c r="I472" i="1"/>
  <c r="I465" i="1"/>
  <c r="I479" i="1"/>
  <c r="I494" i="1"/>
  <c r="Q290" i="1"/>
  <c r="Q283" i="1"/>
  <c r="U283" i="1"/>
  <c r="AX257" i="1"/>
  <c r="AX271" i="1"/>
  <c r="AJ44" i="1"/>
  <c r="AJ455" i="1"/>
  <c r="U390" i="1"/>
  <c r="U399" i="1"/>
  <c r="U443" i="1"/>
  <c r="U421" i="1"/>
  <c r="U432" i="1"/>
  <c r="U463" i="1"/>
  <c r="U492" i="1"/>
  <c r="T415" i="1"/>
  <c r="T437" i="1"/>
  <c r="T406" i="1"/>
  <c r="X404" i="1"/>
  <c r="X390" i="1"/>
  <c r="X399" i="1"/>
  <c r="X463" i="1"/>
  <c r="X421" i="1"/>
  <c r="X432" i="1"/>
  <c r="X443" i="1"/>
  <c r="X492" i="1"/>
  <c r="J390" i="1"/>
  <c r="J443" i="1"/>
  <c r="J421" i="1"/>
  <c r="J463" i="1"/>
  <c r="J492" i="1"/>
  <c r="P399" i="1"/>
  <c r="P463" i="1"/>
  <c r="P390" i="1"/>
  <c r="P432" i="1"/>
  <c r="P421" i="1"/>
  <c r="P492" i="1"/>
  <c r="P443" i="1"/>
  <c r="S223" i="1"/>
  <c r="AS223" i="1" s="1"/>
  <c r="S233" i="1"/>
  <c r="S240" i="1"/>
  <c r="S269" i="1"/>
  <c r="W233" i="1"/>
  <c r="T240" i="1"/>
  <c r="H21" i="2"/>
  <c r="H18" i="2"/>
  <c r="H105" i="2"/>
  <c r="I35" i="7"/>
  <c r="I31" i="7" s="1"/>
  <c r="I38" i="7"/>
  <c r="AT397" i="1"/>
  <c r="AT388" i="1"/>
  <c r="AS233" i="1"/>
  <c r="F23" i="7"/>
  <c r="AS269" i="1"/>
  <c r="AT233" i="1"/>
  <c r="AQ34" i="1"/>
  <c r="AQ36" i="1"/>
  <c r="AR34" i="1"/>
  <c r="AX192" i="1"/>
  <c r="AX314" i="1"/>
  <c r="AX319" i="1" s="1"/>
  <c r="AX367" i="1"/>
  <c r="AX372" i="1" s="1"/>
  <c r="K14" i="2"/>
  <c r="AQ340" i="1"/>
  <c r="AT340" i="1"/>
  <c r="AV622" i="1"/>
  <c r="AV625" i="1" s="1"/>
  <c r="AV87" i="1" s="1"/>
  <c r="AV86" i="1"/>
  <c r="AV113" i="1" s="1"/>
  <c r="S390" i="1"/>
  <c r="S399" i="1"/>
  <c r="S463" i="1"/>
  <c r="S443" i="1"/>
  <c r="S421" i="1"/>
  <c r="S492" i="1"/>
  <c r="S432" i="1"/>
  <c r="AE390" i="1"/>
  <c r="AE399" i="1"/>
  <c r="AE463" i="1"/>
  <c r="E21" i="2"/>
  <c r="E18" i="2"/>
  <c r="E105" i="2"/>
  <c r="AM377" i="1"/>
  <c r="AM372" i="1"/>
  <c r="AI483" i="1"/>
  <c r="AP34" i="1"/>
  <c r="AP36" i="1"/>
  <c r="AP37" i="1" s="1"/>
  <c r="AA390" i="1"/>
  <c r="AA399" i="1"/>
  <c r="AA463" i="1"/>
  <c r="V406" i="1"/>
  <c r="V415" i="1"/>
  <c r="Z404" i="1"/>
  <c r="Z390" i="1"/>
  <c r="Z399" i="1"/>
  <c r="Z463" i="1"/>
  <c r="AP397" i="1"/>
  <c r="AP388" i="1"/>
  <c r="AP430" i="1"/>
  <c r="AP419" i="1"/>
  <c r="R390" i="1"/>
  <c r="R399" i="1"/>
  <c r="R421" i="1"/>
  <c r="R463" i="1"/>
  <c r="R443" i="1"/>
  <c r="R492" i="1"/>
  <c r="R432" i="1"/>
  <c r="AR426" i="1"/>
  <c r="AR415" i="1"/>
  <c r="D21" i="7"/>
  <c r="D8" i="2"/>
  <c r="E9" i="2" s="1"/>
  <c r="E20" i="7"/>
  <c r="D25" i="7"/>
  <c r="AC399" i="1"/>
  <c r="AC390" i="1"/>
  <c r="AC463" i="1"/>
  <c r="AM324" i="1"/>
  <c r="AM319" i="1"/>
  <c r="T15" i="7"/>
  <c r="S17" i="7"/>
  <c r="AJ422" i="1"/>
  <c r="AJ444" i="1"/>
  <c r="I38" i="1"/>
  <c r="M37" i="1"/>
  <c r="AH340" i="1"/>
  <c r="AH347" i="1"/>
  <c r="E35" i="7"/>
  <c r="E31" i="7" s="1"/>
  <c r="E38" i="7"/>
  <c r="AR340" i="1"/>
  <c r="N399" i="1"/>
  <c r="N390" i="1"/>
  <c r="N463" i="1"/>
  <c r="N432" i="1"/>
  <c r="N421" i="1"/>
  <c r="N443" i="1"/>
  <c r="N492" i="1"/>
  <c r="U438" i="1"/>
  <c r="U416" i="1"/>
  <c r="Y405" i="1"/>
  <c r="V438" i="1"/>
  <c r="AT405" i="1"/>
  <c r="G35" i="7"/>
  <c r="G31" i="7" s="1"/>
  <c r="G38" i="7"/>
  <c r="AK277" i="1"/>
  <c r="AJ150" i="1"/>
  <c r="AJ284" i="1"/>
  <c r="AV397" i="1"/>
  <c r="AV388" i="1"/>
  <c r="AH294" i="1"/>
  <c r="AH287" i="1"/>
  <c r="AU340" i="1"/>
  <c r="L390" i="1"/>
  <c r="L399" i="1"/>
  <c r="L463" i="1"/>
  <c r="L443" i="1"/>
  <c r="L432" i="1"/>
  <c r="L421" i="1"/>
  <c r="L492" i="1"/>
  <c r="Q285" i="1"/>
  <c r="Q292" i="1"/>
  <c r="U285" i="1"/>
  <c r="AI459" i="1"/>
  <c r="AI454" i="1"/>
  <c r="AW449" i="1"/>
  <c r="AI450" i="1"/>
  <c r="AQ390" i="1"/>
  <c r="H423" i="1"/>
  <c r="H465" i="1"/>
  <c r="H472" i="1"/>
  <c r="H479" i="1"/>
  <c r="H494" i="1"/>
  <c r="R238" i="1"/>
  <c r="R267" i="1"/>
  <c r="R231" i="1"/>
  <c r="V231" i="1"/>
  <c r="R277" i="1"/>
  <c r="R276" i="1"/>
  <c r="R278" i="1"/>
  <c r="R280" i="1"/>
  <c r="AR287" i="1"/>
  <c r="AP96" i="1"/>
  <c r="AP271" i="1"/>
  <c r="AP257" i="1"/>
  <c r="AP64" i="1"/>
  <c r="AP102" i="1"/>
  <c r="AP70" i="1"/>
  <c r="Q415" i="1"/>
  <c r="Q437" i="1"/>
  <c r="Q426" i="1"/>
  <c r="U404" i="1"/>
  <c r="V437" i="1" s="1"/>
  <c r="Q390" i="1"/>
  <c r="Q399" i="1"/>
  <c r="Q421" i="1"/>
  <c r="Q463" i="1"/>
  <c r="Q432" i="1"/>
  <c r="Q443" i="1"/>
  <c r="Q492" i="1"/>
  <c r="G41" i="7"/>
  <c r="AI201" i="1"/>
  <c r="AI383" i="1"/>
  <c r="AI157" i="1"/>
  <c r="AI164" i="1"/>
  <c r="AI330" i="1"/>
  <c r="AW150" i="1"/>
  <c r="AU287" i="1"/>
  <c r="AD399" i="1"/>
  <c r="AD463" i="1"/>
  <c r="AD390" i="1"/>
  <c r="T390" i="1"/>
  <c r="T443" i="1"/>
  <c r="T399" i="1"/>
  <c r="T421" i="1"/>
  <c r="T463" i="1"/>
  <c r="T432" i="1"/>
  <c r="T492" i="1"/>
  <c r="AB390" i="1"/>
  <c r="AB399" i="1"/>
  <c r="AB463" i="1"/>
  <c r="AM449" i="1"/>
  <c r="AM400" i="1"/>
  <c r="AM493" i="1"/>
  <c r="K38" i="1"/>
  <c r="L38" i="1"/>
  <c r="O37" i="1"/>
  <c r="AQ388" i="1"/>
  <c r="AQ397" i="1"/>
  <c r="AQ430" i="1"/>
  <c r="AQ419" i="1"/>
  <c r="AH388" i="1"/>
  <c r="AH397" i="1"/>
  <c r="K443" i="1"/>
  <c r="W390" i="1"/>
  <c r="W399" i="1"/>
  <c r="W463" i="1"/>
  <c r="W421" i="1"/>
  <c r="W443" i="1"/>
  <c r="W432" i="1"/>
  <c r="W492" i="1"/>
  <c r="Q36" i="7"/>
  <c r="Q27" i="7" s="1"/>
  <c r="R12" i="2"/>
  <c r="T11" i="7"/>
  <c r="S13" i="7"/>
  <c r="AJ149" i="1"/>
  <c r="AK276" i="1"/>
  <c r="AJ283" i="1"/>
  <c r="G21" i="2"/>
  <c r="G18" i="2"/>
  <c r="G105" i="2"/>
  <c r="I21" i="2"/>
  <c r="I18" i="2"/>
  <c r="I105" i="2"/>
  <c r="K445" i="1"/>
  <c r="K423" i="1"/>
  <c r="K465" i="1"/>
  <c r="K472" i="1"/>
  <c r="K479" i="1"/>
  <c r="K494" i="1"/>
  <c r="E41" i="7"/>
  <c r="AS427" i="1"/>
  <c r="AS416" i="1"/>
  <c r="AQ271" i="1"/>
  <c r="AQ257" i="1"/>
  <c r="AQ64" i="1"/>
  <c r="AQ70" i="1"/>
  <c r="AR257" i="1"/>
  <c r="AQ96" i="1"/>
  <c r="AQ102" i="1"/>
  <c r="AR397" i="1"/>
  <c r="AR388" i="1"/>
  <c r="AR430" i="1"/>
  <c r="AR419" i="1"/>
  <c r="AI200" i="1"/>
  <c r="AI382" i="1"/>
  <c r="AI156" i="1"/>
  <c r="AI151" i="1"/>
  <c r="AI163" i="1"/>
  <c r="AI329" i="1"/>
  <c r="AW149" i="1"/>
  <c r="AS397" i="1"/>
  <c r="AS388" i="1"/>
  <c r="H35" i="7"/>
  <c r="H31" i="7" s="1"/>
  <c r="H38" i="7"/>
  <c r="F35" i="7"/>
  <c r="F31" i="7" s="1"/>
  <c r="F38" i="7"/>
  <c r="O390" i="1"/>
  <c r="O399" i="1"/>
  <c r="O463" i="1"/>
  <c r="O421" i="1"/>
  <c r="O443" i="1"/>
  <c r="O432" i="1"/>
  <c r="O492" i="1"/>
  <c r="AP426" i="1"/>
  <c r="AP415" i="1"/>
  <c r="AF399" i="1"/>
  <c r="AF463" i="1"/>
  <c r="AF390" i="1"/>
  <c r="AA416" i="1"/>
  <c r="AA438" i="1"/>
  <c r="AE405" i="1"/>
  <c r="AF438" i="1" s="1"/>
  <c r="AU397" i="1"/>
  <c r="AU388" i="1"/>
  <c r="AX389" i="1"/>
  <c r="AS231" i="1" l="1"/>
  <c r="AS267" i="1"/>
  <c r="AT231" i="1"/>
  <c r="AS277" i="1"/>
  <c r="AS276" i="1"/>
  <c r="AS278" i="1"/>
  <c r="AS280" i="1"/>
  <c r="Y438" i="1"/>
  <c r="Y416" i="1"/>
  <c r="AC405" i="1"/>
  <c r="Z438" i="1"/>
  <c r="AU405" i="1"/>
  <c r="Z401" i="1"/>
  <c r="Z445" i="1"/>
  <c r="Z423" i="1"/>
  <c r="Z465" i="1"/>
  <c r="Z472" i="1"/>
  <c r="Z479" i="1"/>
  <c r="Z434" i="1"/>
  <c r="Z494" i="1"/>
  <c r="AT404" i="1"/>
  <c r="S417" i="1"/>
  <c r="S408" i="1"/>
  <c r="S439" i="1"/>
  <c r="S428" i="1"/>
  <c r="AS406" i="1"/>
  <c r="AI127" i="1"/>
  <c r="AI215" i="1"/>
  <c r="AI208" i="1"/>
  <c r="AW201" i="1"/>
  <c r="AW208" i="1" s="1"/>
  <c r="L401" i="1"/>
  <c r="AR390" i="1"/>
  <c r="L445" i="1"/>
  <c r="L423" i="1"/>
  <c r="L479" i="1"/>
  <c r="L465" i="1"/>
  <c r="L472" i="1"/>
  <c r="L434" i="1"/>
  <c r="L494" i="1"/>
  <c r="H32" i="7"/>
  <c r="H33" i="7"/>
  <c r="V417" i="1"/>
  <c r="V408" i="1"/>
  <c r="V428" i="1"/>
  <c r="V439" i="1"/>
  <c r="J445" i="1"/>
  <c r="J423" i="1"/>
  <c r="J479" i="1"/>
  <c r="J472" i="1"/>
  <c r="J465" i="1"/>
  <c r="J494" i="1"/>
  <c r="AS399" i="1"/>
  <c r="AS463" i="1"/>
  <c r="AS421" i="1"/>
  <c r="AS492" i="1"/>
  <c r="AS432" i="1"/>
  <c r="AI405" i="1"/>
  <c r="AI394" i="1"/>
  <c r="Y401" i="1"/>
  <c r="Y434" i="1"/>
  <c r="Y423" i="1"/>
  <c r="Y479" i="1"/>
  <c r="Y472" i="1"/>
  <c r="Y445" i="1"/>
  <c r="Y465" i="1"/>
  <c r="Y494" i="1"/>
  <c r="AQ465" i="1"/>
  <c r="AQ423" i="1"/>
  <c r="AQ479" i="1"/>
  <c r="AQ472" i="1"/>
  <c r="AQ494" i="1"/>
  <c r="AE465" i="1"/>
  <c r="AE472" i="1"/>
  <c r="AE479" i="1"/>
  <c r="AE401" i="1"/>
  <c r="AE434" i="1"/>
  <c r="AE445" i="1"/>
  <c r="AE423" i="1"/>
  <c r="AE494" i="1"/>
  <c r="AW156" i="1"/>
  <c r="AW276" i="1"/>
  <c r="AW283" i="1" s="1"/>
  <c r="AW329" i="1"/>
  <c r="AW336" i="1" s="1"/>
  <c r="AW382" i="1"/>
  <c r="AH390" i="1"/>
  <c r="AH399" i="1"/>
  <c r="AH463" i="1"/>
  <c r="AI165" i="1"/>
  <c r="AI153" i="1"/>
  <c r="AI158" i="1"/>
  <c r="AI278" i="1"/>
  <c r="AI331" i="1"/>
  <c r="AW151" i="1"/>
  <c r="AK149" i="1"/>
  <c r="AL276" i="1"/>
  <c r="AK283" i="1"/>
  <c r="AI44" i="1"/>
  <c r="AI460" i="1"/>
  <c r="AI455" i="1"/>
  <c r="AW450" i="1"/>
  <c r="AQ37" i="1"/>
  <c r="AR37" i="1"/>
  <c r="Z406" i="1"/>
  <c r="Z415" i="1"/>
  <c r="AD404" i="1"/>
  <c r="AI343" i="1"/>
  <c r="AI336" i="1"/>
  <c r="AJ200" i="1"/>
  <c r="AJ382" i="1"/>
  <c r="AJ156" i="1"/>
  <c r="AJ151" i="1"/>
  <c r="AJ163" i="1"/>
  <c r="AJ329" i="1"/>
  <c r="AW454" i="1"/>
  <c r="AW464" i="1"/>
  <c r="AV399" i="1"/>
  <c r="AV463" i="1"/>
  <c r="U15" i="7"/>
  <c r="T17" i="7"/>
  <c r="AA401" i="1"/>
  <c r="AA465" i="1"/>
  <c r="AA472" i="1"/>
  <c r="AA479" i="1"/>
  <c r="AA445" i="1"/>
  <c r="AA423" i="1"/>
  <c r="AA434" i="1"/>
  <c r="AA494" i="1"/>
  <c r="U401" i="1"/>
  <c r="U423" i="1"/>
  <c r="U445" i="1"/>
  <c r="U479" i="1"/>
  <c r="U434" i="1"/>
  <c r="U465" i="1"/>
  <c r="U472" i="1"/>
  <c r="U494" i="1"/>
  <c r="AK47" i="1"/>
  <c r="AK50" i="1"/>
  <c r="L14" i="2"/>
  <c r="K45" i="7"/>
  <c r="K40" i="7" s="1"/>
  <c r="K41" i="7" s="1"/>
  <c r="K24" i="2"/>
  <c r="K42" i="2"/>
  <c r="AB401" i="1"/>
  <c r="AV390" i="1"/>
  <c r="AB479" i="1"/>
  <c r="AB465" i="1"/>
  <c r="AB472" i="1"/>
  <c r="AB445" i="1"/>
  <c r="AB434" i="1"/>
  <c r="AB423" i="1"/>
  <c r="AB494" i="1"/>
  <c r="S231" i="1"/>
  <c r="S238" i="1"/>
  <c r="T238" i="1"/>
  <c r="S267" i="1"/>
  <c r="W231" i="1"/>
  <c r="S276" i="1"/>
  <c r="S277" i="1"/>
  <c r="S278" i="1"/>
  <c r="S280" i="1"/>
  <c r="AM411" i="1"/>
  <c r="AM454" i="1"/>
  <c r="AM459" i="1"/>
  <c r="AM450" i="1"/>
  <c r="AI384" i="1"/>
  <c r="AI393" i="1"/>
  <c r="N465" i="1"/>
  <c r="N401" i="1"/>
  <c r="N479" i="1"/>
  <c r="N472" i="1"/>
  <c r="N434" i="1"/>
  <c r="N445" i="1"/>
  <c r="N423" i="1"/>
  <c r="N494" i="1"/>
  <c r="AI126" i="1"/>
  <c r="AI214" i="1"/>
  <c r="AI207" i="1"/>
  <c r="AI202" i="1"/>
  <c r="AW200" i="1"/>
  <c r="AW207" i="1" s="1"/>
  <c r="U11" i="7"/>
  <c r="U13" i="7" s="1"/>
  <c r="T13" i="7"/>
  <c r="AQ399" i="1"/>
  <c r="AQ463" i="1"/>
  <c r="AQ432" i="1"/>
  <c r="AQ421" i="1"/>
  <c r="AQ492" i="1"/>
  <c r="T401" i="1"/>
  <c r="T423" i="1"/>
  <c r="T445" i="1"/>
  <c r="AT390" i="1"/>
  <c r="T479" i="1"/>
  <c r="T472" i="1"/>
  <c r="T465" i="1"/>
  <c r="T434" i="1"/>
  <c r="T494" i="1"/>
  <c r="R285" i="1"/>
  <c r="R292" i="1"/>
  <c r="V285" i="1"/>
  <c r="R465" i="1"/>
  <c r="R445" i="1"/>
  <c r="R401" i="1"/>
  <c r="R472" i="1"/>
  <c r="R423" i="1"/>
  <c r="R479" i="1"/>
  <c r="R494" i="1"/>
  <c r="R434" i="1"/>
  <c r="AJ460" i="1"/>
  <c r="AI344" i="1"/>
  <c r="AI337" i="1"/>
  <c r="AF465" i="1"/>
  <c r="AF472" i="1"/>
  <c r="AF401" i="1"/>
  <c r="AF423" i="1"/>
  <c r="AF479" i="1"/>
  <c r="AF434" i="1"/>
  <c r="AF494" i="1"/>
  <c r="AF445" i="1"/>
  <c r="W401" i="1"/>
  <c r="W479" i="1"/>
  <c r="W472" i="1"/>
  <c r="W465" i="1"/>
  <c r="W445" i="1"/>
  <c r="W423" i="1"/>
  <c r="W434" i="1"/>
  <c r="W494" i="1"/>
  <c r="R294" i="1"/>
  <c r="R287" i="1"/>
  <c r="V287" i="1"/>
  <c r="R36" i="7"/>
  <c r="R27" i="7" s="1"/>
  <c r="S12" i="2"/>
  <c r="AD401" i="1"/>
  <c r="AD465" i="1"/>
  <c r="AD472" i="1"/>
  <c r="AD479" i="1"/>
  <c r="AD445" i="1"/>
  <c r="AD423" i="1"/>
  <c r="AD434" i="1"/>
  <c r="AD494" i="1"/>
  <c r="R290" i="1"/>
  <c r="R283" i="1"/>
  <c r="V283" i="1"/>
  <c r="AJ201" i="1"/>
  <c r="AJ383" i="1"/>
  <c r="AJ157" i="1"/>
  <c r="AJ164" i="1"/>
  <c r="AJ330" i="1"/>
  <c r="AX449" i="1"/>
  <c r="F28" i="7"/>
  <c r="F50" i="7"/>
  <c r="F25" i="7"/>
  <c r="F24" i="7"/>
  <c r="G24" i="7"/>
  <c r="F52" i="7"/>
  <c r="AL44" i="1"/>
  <c r="AL455" i="1"/>
  <c r="AL460" i="1"/>
  <c r="Q465" i="1"/>
  <c r="Q401" i="1"/>
  <c r="Q423" i="1"/>
  <c r="Q479" i="1"/>
  <c r="Q472" i="1"/>
  <c r="Q434" i="1"/>
  <c r="Q445" i="1"/>
  <c r="Q494" i="1"/>
  <c r="R291" i="1"/>
  <c r="R284" i="1"/>
  <c r="V284" i="1"/>
  <c r="AK150" i="1"/>
  <c r="AL277" i="1"/>
  <c r="AK284" i="1"/>
  <c r="AC401" i="1"/>
  <c r="AC465" i="1"/>
  <c r="AC479" i="1"/>
  <c r="AC434" i="1"/>
  <c r="AC472" i="1"/>
  <c r="AC445" i="1"/>
  <c r="AC423" i="1"/>
  <c r="AC494" i="1"/>
  <c r="AM488" i="1"/>
  <c r="AI493" i="1"/>
  <c r="X401" i="1"/>
  <c r="X465" i="1"/>
  <c r="AU390" i="1"/>
  <c r="X479" i="1"/>
  <c r="X472" i="1"/>
  <c r="X434" i="1"/>
  <c r="X423" i="1"/>
  <c r="X494" i="1"/>
  <c r="X445" i="1"/>
  <c r="V401" i="1"/>
  <c r="V465" i="1"/>
  <c r="V479" i="1"/>
  <c r="V472" i="1"/>
  <c r="V434" i="1"/>
  <c r="V445" i="1"/>
  <c r="V423" i="1"/>
  <c r="V494" i="1"/>
  <c r="AX400" i="1"/>
  <c r="AX493" i="1"/>
  <c r="AU399" i="1"/>
  <c r="AU463" i="1"/>
  <c r="O465" i="1"/>
  <c r="O472" i="1"/>
  <c r="O479" i="1"/>
  <c r="O401" i="1"/>
  <c r="O434" i="1"/>
  <c r="O445" i="1"/>
  <c r="O423" i="1"/>
  <c r="O494" i="1"/>
  <c r="AR399" i="1"/>
  <c r="AR463" i="1"/>
  <c r="AR492" i="1"/>
  <c r="AR432" i="1"/>
  <c r="AR421" i="1"/>
  <c r="U415" i="1"/>
  <c r="U437" i="1"/>
  <c r="U406" i="1"/>
  <c r="Y404" i="1"/>
  <c r="Z437" i="1" s="1"/>
  <c r="E32" i="7"/>
  <c r="E33" i="7"/>
  <c r="AP390" i="1"/>
  <c r="AP399" i="1"/>
  <c r="AP421" i="1"/>
  <c r="AP432" i="1"/>
  <c r="AP463" i="1"/>
  <c r="AP492" i="1"/>
  <c r="S401" i="1"/>
  <c r="S423" i="1"/>
  <c r="S465" i="1"/>
  <c r="S445" i="1"/>
  <c r="S479" i="1"/>
  <c r="S472" i="1"/>
  <c r="S494" i="1"/>
  <c r="S434" i="1"/>
  <c r="AT399" i="1"/>
  <c r="AT463" i="1"/>
  <c r="AT421" i="1"/>
  <c r="AT432" i="1"/>
  <c r="AT492" i="1"/>
  <c r="AU404" i="1"/>
  <c r="X406" i="1"/>
  <c r="X437" i="1"/>
  <c r="X415" i="1"/>
  <c r="AB404" i="1"/>
  <c r="AJ47" i="1"/>
  <c r="AJ50" i="1"/>
  <c r="I32" i="7"/>
  <c r="I33" i="7"/>
  <c r="G33" i="7"/>
  <c r="G32" i="7"/>
  <c r="P465" i="1"/>
  <c r="P472" i="1"/>
  <c r="AS390" i="1"/>
  <c r="P401" i="1"/>
  <c r="P479" i="1"/>
  <c r="P434" i="1"/>
  <c r="P423" i="1"/>
  <c r="P494" i="1"/>
  <c r="P445" i="1"/>
  <c r="AT406" i="1"/>
  <c r="T417" i="1"/>
  <c r="T428" i="1"/>
  <c r="T408" i="1"/>
  <c r="T439" i="1"/>
  <c r="AL444" i="1"/>
  <c r="AL422" i="1"/>
  <c r="AG465" i="1"/>
  <c r="AG401" i="1"/>
  <c r="AG423" i="1"/>
  <c r="AG479" i="1"/>
  <c r="AG445" i="1"/>
  <c r="AG434" i="1"/>
  <c r="AG472" i="1"/>
  <c r="AG494" i="1"/>
  <c r="M401" i="1"/>
  <c r="M479" i="1"/>
  <c r="M472" i="1"/>
  <c r="M465" i="1"/>
  <c r="M434" i="1"/>
  <c r="M445" i="1"/>
  <c r="M423" i="1"/>
  <c r="M494" i="1"/>
  <c r="AE416" i="1"/>
  <c r="AE438" i="1"/>
  <c r="F32" i="7"/>
  <c r="F33" i="7"/>
  <c r="AW157" i="1"/>
  <c r="AW277" i="1"/>
  <c r="AW284" i="1" s="1"/>
  <c r="AW330" i="1"/>
  <c r="AW337" i="1" s="1"/>
  <c r="AW383" i="1"/>
  <c r="AW394" i="1" s="1"/>
  <c r="AT416" i="1"/>
  <c r="AT427" i="1"/>
  <c r="W406" i="1"/>
  <c r="W415" i="1"/>
  <c r="W437" i="1"/>
  <c r="AA404" i="1"/>
  <c r="AJ404" i="1" l="1"/>
  <c r="AJ384" i="1"/>
  <c r="AJ393" i="1"/>
  <c r="AM276" i="1"/>
  <c r="AL149" i="1"/>
  <c r="AL283" i="1"/>
  <c r="AR401" i="1"/>
  <c r="AR465" i="1"/>
  <c r="AR479" i="1"/>
  <c r="AR472" i="1"/>
  <c r="AR434" i="1"/>
  <c r="AR423" i="1"/>
  <c r="AR494" i="1"/>
  <c r="F29" i="7"/>
  <c r="G29" i="7"/>
  <c r="L45" i="7"/>
  <c r="L40" i="7" s="1"/>
  <c r="L32" i="2"/>
  <c r="L37" i="2" s="1"/>
  <c r="M14" i="2"/>
  <c r="AJ126" i="1"/>
  <c r="AJ214" i="1"/>
  <c r="AJ207" i="1"/>
  <c r="AJ202" i="1"/>
  <c r="AK200" i="1"/>
  <c r="AK382" i="1"/>
  <c r="AK156" i="1"/>
  <c r="AK151" i="1"/>
  <c r="AK163" i="1"/>
  <c r="AK329" i="1"/>
  <c r="AJ344" i="1"/>
  <c r="AJ337" i="1"/>
  <c r="AK53" i="1"/>
  <c r="AS401" i="1"/>
  <c r="AS479" i="1"/>
  <c r="AS465" i="1"/>
  <c r="AS472" i="1"/>
  <c r="AS423" i="1"/>
  <c r="AS434" i="1"/>
  <c r="AS494" i="1"/>
  <c r="S36" i="7"/>
  <c r="S27" i="7" s="1"/>
  <c r="T12" i="2"/>
  <c r="AD415" i="1"/>
  <c r="AD406" i="1"/>
  <c r="AH404" i="1"/>
  <c r="AI285" i="1"/>
  <c r="AI292" i="1"/>
  <c r="AU416" i="1"/>
  <c r="AU427" i="1"/>
  <c r="V419" i="1"/>
  <c r="V430" i="1"/>
  <c r="V409" i="1"/>
  <c r="AI13" i="1"/>
  <c r="AW127" i="1"/>
  <c r="AI134" i="1"/>
  <c r="AI141" i="1"/>
  <c r="AW158" i="1"/>
  <c r="AW278" i="1"/>
  <c r="AW285" i="1" s="1"/>
  <c r="AW331" i="1"/>
  <c r="AW338" i="1" s="1"/>
  <c r="AP401" i="1"/>
  <c r="AP434" i="1"/>
  <c r="AP423" i="1"/>
  <c r="AP465" i="1"/>
  <c r="AP472" i="1"/>
  <c r="AP494" i="1"/>
  <c r="AP479" i="1"/>
  <c r="AI386" i="1"/>
  <c r="AI395" i="1"/>
  <c r="U17" i="7"/>
  <c r="AI160" i="1"/>
  <c r="AI167" i="1"/>
  <c r="AI280" i="1"/>
  <c r="AI333" i="1"/>
  <c r="AW153" i="1"/>
  <c r="AS417" i="1"/>
  <c r="AS428" i="1"/>
  <c r="AC438" i="1"/>
  <c r="AC416" i="1"/>
  <c r="AG405" i="1"/>
  <c r="AD438" i="1"/>
  <c r="AV405" i="1"/>
  <c r="V27" i="220"/>
  <c r="AI338" i="1"/>
  <c r="AI345" i="1"/>
  <c r="AJ405" i="1"/>
  <c r="AJ394" i="1"/>
  <c r="Z417" i="1"/>
  <c r="Z408" i="1"/>
  <c r="Z428" i="1"/>
  <c r="Z439" i="1"/>
  <c r="AI416" i="1"/>
  <c r="AI438" i="1"/>
  <c r="AJ127" i="1"/>
  <c r="AJ215" i="1"/>
  <c r="AJ208" i="1"/>
  <c r="AM44" i="1"/>
  <c r="AM455" i="1"/>
  <c r="AM460" i="1"/>
  <c r="AX450" i="1"/>
  <c r="AQ434" i="1"/>
  <c r="Y406" i="1"/>
  <c r="Y437" i="1"/>
  <c r="Y415" i="1"/>
  <c r="AC404" i="1"/>
  <c r="AD437" i="1" s="1"/>
  <c r="AI209" i="1"/>
  <c r="AI216" i="1"/>
  <c r="AI204" i="1"/>
  <c r="AW202" i="1"/>
  <c r="AW209" i="1" s="1"/>
  <c r="S441" i="1"/>
  <c r="S430" i="1"/>
  <c r="S419" i="1"/>
  <c r="S409" i="1"/>
  <c r="AS408" i="1"/>
  <c r="AS287" i="1"/>
  <c r="AT287" i="1"/>
  <c r="X408" i="1"/>
  <c r="X417" i="1"/>
  <c r="X428" i="1"/>
  <c r="X439" i="1"/>
  <c r="T441" i="1"/>
  <c r="T430" i="1"/>
  <c r="AT408" i="1"/>
  <c r="T419" i="1"/>
  <c r="T409" i="1"/>
  <c r="U428" i="1"/>
  <c r="U408" i="1"/>
  <c r="U417" i="1"/>
  <c r="U439" i="1"/>
  <c r="AW455" i="1"/>
  <c r="AH401" i="1"/>
  <c r="AH445" i="1"/>
  <c r="AH472" i="1"/>
  <c r="AH423" i="1"/>
  <c r="AH479" i="1"/>
  <c r="AH465" i="1"/>
  <c r="AH434" i="1"/>
  <c r="AH494" i="1"/>
  <c r="AS285" i="1"/>
  <c r="AT285" i="1"/>
  <c r="AU426" i="1"/>
  <c r="AU415" i="1"/>
  <c r="W417" i="1"/>
  <c r="W408" i="1"/>
  <c r="W428" i="1"/>
  <c r="W439" i="1"/>
  <c r="AM277" i="1"/>
  <c r="AL150" i="1"/>
  <c r="AL284" i="1"/>
  <c r="AL47" i="1"/>
  <c r="AL50" i="1"/>
  <c r="AM444" i="1"/>
  <c r="AM422" i="1"/>
  <c r="AM433" i="1"/>
  <c r="AX411" i="1"/>
  <c r="AJ343" i="1"/>
  <c r="AJ336" i="1"/>
  <c r="AW384" i="1"/>
  <c r="AW393" i="1"/>
  <c r="AT426" i="1"/>
  <c r="AT415" i="1"/>
  <c r="AS283" i="1"/>
  <c r="AT283" i="1"/>
  <c r="AA406" i="1"/>
  <c r="AU406" i="1" s="1"/>
  <c r="AA415" i="1"/>
  <c r="AA437" i="1"/>
  <c r="AE404" i="1"/>
  <c r="AX44" i="1"/>
  <c r="AU401" i="1"/>
  <c r="AU479" i="1"/>
  <c r="AU423" i="1"/>
  <c r="AU472" i="1"/>
  <c r="AU465" i="1"/>
  <c r="AU434" i="1"/>
  <c r="AU494" i="1"/>
  <c r="AK201" i="1"/>
  <c r="AK383" i="1"/>
  <c r="AK157" i="1"/>
  <c r="AK164" i="1"/>
  <c r="AK330" i="1"/>
  <c r="F53" i="7"/>
  <c r="G53" i="7"/>
  <c r="AI128" i="1"/>
  <c r="AI12" i="1"/>
  <c r="AI133" i="1"/>
  <c r="AI140" i="1"/>
  <c r="AW126" i="1"/>
  <c r="S294" i="1"/>
  <c r="S287" i="1"/>
  <c r="T294" i="1"/>
  <c r="W287" i="1"/>
  <c r="AV401" i="1"/>
  <c r="AV472" i="1"/>
  <c r="AV465" i="1"/>
  <c r="AV479" i="1"/>
  <c r="AV434" i="1"/>
  <c r="AV423" i="1"/>
  <c r="AV494" i="1"/>
  <c r="AS284" i="1"/>
  <c r="AT284" i="1"/>
  <c r="AT417" i="1"/>
  <c r="AT428" i="1"/>
  <c r="AT401" i="1"/>
  <c r="AT479" i="1"/>
  <c r="AT472" i="1"/>
  <c r="AT465" i="1"/>
  <c r="AT423" i="1"/>
  <c r="AT494" i="1"/>
  <c r="AT434" i="1"/>
  <c r="S285" i="1"/>
  <c r="S292" i="1"/>
  <c r="W285" i="1"/>
  <c r="T292" i="1"/>
  <c r="AQ401" i="1"/>
  <c r="AJ53" i="1"/>
  <c r="S284" i="1"/>
  <c r="S291" i="1"/>
  <c r="W284" i="1"/>
  <c r="T291" i="1"/>
  <c r="AJ165" i="1"/>
  <c r="AJ153" i="1"/>
  <c r="AJ158" i="1"/>
  <c r="AJ278" i="1"/>
  <c r="AJ331" i="1"/>
  <c r="AI47" i="1"/>
  <c r="AI50" i="1"/>
  <c r="AW44" i="1"/>
  <c r="AX454" i="1"/>
  <c r="AX464" i="1"/>
  <c r="AB406" i="1"/>
  <c r="AB415" i="1"/>
  <c r="AB437" i="1"/>
  <c r="AF404" i="1"/>
  <c r="S290" i="1"/>
  <c r="S283" i="1"/>
  <c r="W283" i="1"/>
  <c r="T290" i="1"/>
  <c r="AU417" i="1" l="1"/>
  <c r="AU428" i="1"/>
  <c r="AW12" i="1"/>
  <c r="AW133" i="1"/>
  <c r="AI218" i="1"/>
  <c r="AI211" i="1"/>
  <c r="AW204" i="1"/>
  <c r="AW211" i="1" s="1"/>
  <c r="K11" i="194"/>
  <c r="AI36" i="1"/>
  <c r="AI26" i="1"/>
  <c r="AI19" i="1"/>
  <c r="V31" i="220" s="1"/>
  <c r="AX50" i="1"/>
  <c r="AT419" i="1"/>
  <c r="AT430" i="1"/>
  <c r="AW50" i="1"/>
  <c r="AI130" i="1"/>
  <c r="AI14" i="1"/>
  <c r="AI142" i="1"/>
  <c r="AI135" i="1"/>
  <c r="AW128" i="1"/>
  <c r="AW135" i="1" s="1"/>
  <c r="AE406" i="1"/>
  <c r="AE437" i="1"/>
  <c r="AE415" i="1"/>
  <c r="AI404" i="1"/>
  <c r="AJ437" i="1" s="1"/>
  <c r="AH415" i="1"/>
  <c r="AH406" i="1"/>
  <c r="AK343" i="1"/>
  <c r="AK336" i="1"/>
  <c r="AW160" i="1"/>
  <c r="AW280" i="1"/>
  <c r="AW287" i="1" s="1"/>
  <c r="AW333" i="1"/>
  <c r="AW340" i="1" s="1"/>
  <c r="AK337" i="1"/>
  <c r="AK344" i="1"/>
  <c r="Z419" i="1"/>
  <c r="Z410" i="1"/>
  <c r="Z430" i="1"/>
  <c r="AK165" i="1"/>
  <c r="AK153" i="1"/>
  <c r="AK158" i="1"/>
  <c r="AK278" i="1"/>
  <c r="AK331" i="1"/>
  <c r="AJ285" i="1"/>
  <c r="AJ292" i="1"/>
  <c r="AL201" i="1"/>
  <c r="AL383" i="1"/>
  <c r="AL157" i="1"/>
  <c r="AL164" i="1"/>
  <c r="AL330" i="1"/>
  <c r="X419" i="1"/>
  <c r="X441" i="1"/>
  <c r="X430" i="1"/>
  <c r="X409" i="1"/>
  <c r="Y417" i="1"/>
  <c r="Y408" i="1"/>
  <c r="Y428" i="1"/>
  <c r="Y439" i="1"/>
  <c r="AI294" i="1"/>
  <c r="AI287" i="1"/>
  <c r="T36" i="7"/>
  <c r="T27" i="7" s="1"/>
  <c r="U12" i="2"/>
  <c r="U36" i="7" s="1"/>
  <c r="U27" i="7" s="1"/>
  <c r="AK384" i="1"/>
  <c r="AK393" i="1"/>
  <c r="AL53" i="1"/>
  <c r="AJ345" i="1"/>
  <c r="AJ338" i="1"/>
  <c r="AI340" i="1"/>
  <c r="AI347" i="1"/>
  <c r="AM150" i="1"/>
  <c r="AM284" i="1"/>
  <c r="AJ160" i="1"/>
  <c r="AJ167" i="1"/>
  <c r="AJ280" i="1"/>
  <c r="AJ333" i="1"/>
  <c r="AX455" i="1"/>
  <c r="AW13" i="1"/>
  <c r="AW134" i="1"/>
  <c r="AK126" i="1"/>
  <c r="AK214" i="1"/>
  <c r="AK202" i="1"/>
  <c r="AK207" i="1"/>
  <c r="AD408" i="1"/>
  <c r="AD417" i="1"/>
  <c r="AD428" i="1"/>
  <c r="AK405" i="1"/>
  <c r="AK394" i="1"/>
  <c r="AJ416" i="1"/>
  <c r="AJ438" i="1"/>
  <c r="K12" i="194"/>
  <c r="AI20" i="1"/>
  <c r="AI27" i="1"/>
  <c r="AJ209" i="1"/>
  <c r="AJ216" i="1"/>
  <c r="AJ204" i="1"/>
  <c r="AF437" i="1"/>
  <c r="AF415" i="1"/>
  <c r="AF406" i="1"/>
  <c r="W419" i="1"/>
  <c r="W441" i="1"/>
  <c r="W430" i="1"/>
  <c r="W409" i="1"/>
  <c r="AS419" i="1"/>
  <c r="AS430" i="1"/>
  <c r="V431" i="1"/>
  <c r="Z431" i="1"/>
  <c r="V420" i="1"/>
  <c r="AA417" i="1"/>
  <c r="AA408" i="1"/>
  <c r="AU408" i="1" s="1"/>
  <c r="AA428" i="1"/>
  <c r="AA439" i="1"/>
  <c r="AK127" i="1"/>
  <c r="AK215" i="1"/>
  <c r="AK208" i="1"/>
  <c r="AW386" i="1"/>
  <c r="AW395" i="1"/>
  <c r="S420" i="1"/>
  <c r="S442" i="1"/>
  <c r="S431" i="1"/>
  <c r="AS409" i="1"/>
  <c r="AI388" i="1"/>
  <c r="AI397" i="1"/>
  <c r="AL382" i="1"/>
  <c r="AL200" i="1"/>
  <c r="AL156" i="1"/>
  <c r="AL151" i="1"/>
  <c r="AL163" i="1"/>
  <c r="AL329" i="1"/>
  <c r="AI53" i="1"/>
  <c r="AW47" i="1"/>
  <c r="U441" i="1"/>
  <c r="U430" i="1"/>
  <c r="U419" i="1"/>
  <c r="U409" i="1"/>
  <c r="AM47" i="1"/>
  <c r="AM50" i="1"/>
  <c r="AC415" i="1"/>
  <c r="AC406" i="1"/>
  <c r="AD439" i="1" s="1"/>
  <c r="AC437" i="1"/>
  <c r="AG404" i="1"/>
  <c r="V441" i="1"/>
  <c r="AM149" i="1"/>
  <c r="AM283" i="1"/>
  <c r="AV404" i="1"/>
  <c r="AV427" i="1"/>
  <c r="AV416" i="1"/>
  <c r="AJ12" i="1"/>
  <c r="AJ128" i="1"/>
  <c r="AJ133" i="1"/>
  <c r="AJ140" i="1"/>
  <c r="AB417" i="1"/>
  <c r="AB408" i="1"/>
  <c r="AB428" i="1"/>
  <c r="AB439" i="1"/>
  <c r="AX422" i="1"/>
  <c r="T442" i="1"/>
  <c r="T420" i="1"/>
  <c r="T431" i="1"/>
  <c r="N14" i="2"/>
  <c r="M32" i="2"/>
  <c r="M37" i="2" s="1"/>
  <c r="M45" i="7"/>
  <c r="M40" i="7" s="1"/>
  <c r="AJ395" i="1"/>
  <c r="AJ386" i="1"/>
  <c r="AX47" i="1"/>
  <c r="AG416" i="1"/>
  <c r="AG438" i="1"/>
  <c r="AH438" i="1"/>
  <c r="AW405" i="1"/>
  <c r="AJ13" i="1"/>
  <c r="AJ134" i="1"/>
  <c r="AJ141" i="1"/>
  <c r="L41" i="7"/>
  <c r="L42" i="7"/>
  <c r="AJ406" i="1"/>
  <c r="AJ415" i="1"/>
  <c r="AU419" i="1" l="1"/>
  <c r="AU430" i="1"/>
  <c r="AX200" i="1"/>
  <c r="AX207" i="1" s="1"/>
  <c r="W420" i="1"/>
  <c r="W431" i="1"/>
  <c r="W442" i="1"/>
  <c r="AA431" i="1"/>
  <c r="AL127" i="1"/>
  <c r="AL215" i="1"/>
  <c r="AL208" i="1"/>
  <c r="AK416" i="1"/>
  <c r="AK438" i="1"/>
  <c r="AW416" i="1"/>
  <c r="AW427" i="1"/>
  <c r="AF408" i="1"/>
  <c r="AF439" i="1"/>
  <c r="AF428" i="1"/>
  <c r="AF417" i="1"/>
  <c r="AL343" i="1"/>
  <c r="AL336" i="1"/>
  <c r="AG415" i="1"/>
  <c r="AG437" i="1"/>
  <c r="AG406" i="1"/>
  <c r="AW406" i="1" s="1"/>
  <c r="AL165" i="1"/>
  <c r="AL153" i="1"/>
  <c r="AL158" i="1"/>
  <c r="AL278" i="1"/>
  <c r="AL331" i="1"/>
  <c r="AK13" i="1"/>
  <c r="AK134" i="1"/>
  <c r="AK141" i="1"/>
  <c r="AK345" i="1"/>
  <c r="AK338" i="1"/>
  <c r="AH408" i="1"/>
  <c r="AH439" i="1"/>
  <c r="AH428" i="1"/>
  <c r="AH417" i="1"/>
  <c r="AM383" i="1"/>
  <c r="AM201" i="1"/>
  <c r="AM157" i="1"/>
  <c r="AM164" i="1"/>
  <c r="AM330" i="1"/>
  <c r="Y419" i="1"/>
  <c r="Y441" i="1"/>
  <c r="Y430" i="1"/>
  <c r="Y409" i="1"/>
  <c r="AK285" i="1"/>
  <c r="AK292" i="1"/>
  <c r="AH437" i="1"/>
  <c r="AI16" i="1"/>
  <c r="AI137" i="1"/>
  <c r="AI144" i="1"/>
  <c r="AW130" i="1"/>
  <c r="AW137" i="1" s="1"/>
  <c r="AT409" i="1"/>
  <c r="AJ294" i="1"/>
  <c r="AJ287" i="1"/>
  <c r="AC408" i="1"/>
  <c r="AC417" i="1"/>
  <c r="AC428" i="1"/>
  <c r="AC439" i="1"/>
  <c r="AD410" i="1"/>
  <c r="AD430" i="1"/>
  <c r="AD419" i="1"/>
  <c r="AD441" i="1"/>
  <c r="AJ388" i="1"/>
  <c r="AJ397" i="1"/>
  <c r="AM53" i="1"/>
  <c r="Z441" i="1"/>
  <c r="K18" i="194"/>
  <c r="K13" i="194"/>
  <c r="K49" i="194"/>
  <c r="AV415" i="1"/>
  <c r="AV426" i="1"/>
  <c r="X420" i="1"/>
  <c r="X431" i="1"/>
  <c r="X442" i="1"/>
  <c r="AB431" i="1"/>
  <c r="AV406" i="1"/>
  <c r="AK209" i="1"/>
  <c r="AK216" i="1"/>
  <c r="AK204" i="1"/>
  <c r="AI38" i="1"/>
  <c r="AI37" i="1"/>
  <c r="AI390" i="1"/>
  <c r="AI399" i="1"/>
  <c r="AI463" i="1"/>
  <c r="AK12" i="1"/>
  <c r="AK128" i="1"/>
  <c r="AK133" i="1"/>
  <c r="AK140" i="1"/>
  <c r="AE408" i="1"/>
  <c r="AE417" i="1"/>
  <c r="AE428" i="1"/>
  <c r="AE439" i="1"/>
  <c r="AW53" i="1"/>
  <c r="AW388" i="1"/>
  <c r="AW397" i="1"/>
  <c r="AL405" i="1"/>
  <c r="AL394" i="1"/>
  <c r="AJ20" i="1"/>
  <c r="AJ27" i="1"/>
  <c r="AA410" i="1"/>
  <c r="AU410" i="1" s="1"/>
  <c r="AA430" i="1"/>
  <c r="AA419" i="1"/>
  <c r="AA441" i="1"/>
  <c r="AI406" i="1"/>
  <c r="AI437" i="1"/>
  <c r="AI415" i="1"/>
  <c r="AJ130" i="1"/>
  <c r="AJ14" i="1"/>
  <c r="AJ142" i="1"/>
  <c r="AJ135" i="1"/>
  <c r="Z443" i="1"/>
  <c r="Z421" i="1"/>
  <c r="Z432" i="1"/>
  <c r="Z411" i="1"/>
  <c r="AJ36" i="1"/>
  <c r="AJ26" i="1"/>
  <c r="AJ19" i="1"/>
  <c r="N12" i="194"/>
  <c r="AW20" i="1"/>
  <c r="AX150" i="1"/>
  <c r="AJ340" i="1"/>
  <c r="AJ347" i="1"/>
  <c r="AM382" i="1"/>
  <c r="AM200" i="1"/>
  <c r="AM156" i="1"/>
  <c r="AM151" i="1"/>
  <c r="AM163" i="1"/>
  <c r="AM329" i="1"/>
  <c r="AX149" i="1"/>
  <c r="AB410" i="1"/>
  <c r="AB430" i="1"/>
  <c r="AB419" i="1"/>
  <c r="AB441" i="1"/>
  <c r="AV408" i="1"/>
  <c r="AW404" i="1"/>
  <c r="AJ218" i="1"/>
  <c r="AJ211" i="1"/>
  <c r="M42" i="7"/>
  <c r="M41" i="7"/>
  <c r="U420" i="1"/>
  <c r="U431" i="1"/>
  <c r="U442" i="1"/>
  <c r="V442" i="1"/>
  <c r="AJ408" i="1"/>
  <c r="AJ417" i="1"/>
  <c r="AJ428" i="1"/>
  <c r="K19" i="194"/>
  <c r="K50" i="194"/>
  <c r="AK395" i="1"/>
  <c r="AK386" i="1"/>
  <c r="AL337" i="1"/>
  <c r="AL344" i="1"/>
  <c r="AL126" i="1"/>
  <c r="AL214" i="1"/>
  <c r="AL207" i="1"/>
  <c r="AL202" i="1"/>
  <c r="AX53" i="1"/>
  <c r="AL404" i="1"/>
  <c r="AL384" i="1"/>
  <c r="AL393" i="1"/>
  <c r="AX382" i="1"/>
  <c r="AX393" i="1" s="1"/>
  <c r="AK160" i="1"/>
  <c r="AK167" i="1"/>
  <c r="AK280" i="1"/>
  <c r="AK333" i="1"/>
  <c r="AS431" i="1"/>
  <c r="AS420" i="1"/>
  <c r="O14" i="2"/>
  <c r="N45" i="7"/>
  <c r="N40" i="7" s="1"/>
  <c r="N32" i="2"/>
  <c r="N37" i="2" s="1"/>
  <c r="L51" i="7"/>
  <c r="AK404" i="1"/>
  <c r="AI21" i="1"/>
  <c r="AI28" i="1"/>
  <c r="AW14" i="1"/>
  <c r="AW21" i="1" s="1"/>
  <c r="N11" i="194"/>
  <c r="AW36" i="1"/>
  <c r="AW37" i="1" s="1"/>
  <c r="AW19" i="1"/>
  <c r="AW417" i="1" l="1"/>
  <c r="AW428" i="1"/>
  <c r="AU421" i="1"/>
  <c r="AU432" i="1"/>
  <c r="AV419" i="1"/>
  <c r="AV430" i="1"/>
  <c r="N19" i="194"/>
  <c r="N50" i="194"/>
  <c r="AI408" i="1"/>
  <c r="AI417" i="1"/>
  <c r="AI439" i="1"/>
  <c r="AI428" i="1"/>
  <c r="AF410" i="1"/>
  <c r="AF419" i="1"/>
  <c r="AF430" i="1"/>
  <c r="AF441" i="1"/>
  <c r="N13" i="194"/>
  <c r="N18" i="194"/>
  <c r="N49" i="194"/>
  <c r="AJ439" i="1"/>
  <c r="AE419" i="1"/>
  <c r="AE410" i="1"/>
  <c r="AE430" i="1"/>
  <c r="AE441" i="1"/>
  <c r="Y420" i="1"/>
  <c r="Y431" i="1"/>
  <c r="Y442" i="1"/>
  <c r="Z442" i="1"/>
  <c r="AC431" i="1"/>
  <c r="AD421" i="1"/>
  <c r="AD432" i="1"/>
  <c r="AD411" i="1"/>
  <c r="AK20" i="1"/>
  <c r="AK27" i="1"/>
  <c r="AL395" i="1"/>
  <c r="AL386" i="1"/>
  <c r="AJ38" i="1"/>
  <c r="AJ37" i="1"/>
  <c r="AU409" i="1"/>
  <c r="AL345" i="1"/>
  <c r="AL338" i="1"/>
  <c r="AK388" i="1"/>
  <c r="AK397" i="1"/>
  <c r="AL406" i="1"/>
  <c r="AL415" i="1"/>
  <c r="AL437" i="1"/>
  <c r="AJ410" i="1"/>
  <c r="AJ419" i="1"/>
  <c r="AJ430" i="1"/>
  <c r="AX156" i="1"/>
  <c r="AX276" i="1"/>
  <c r="AX283" i="1" s="1"/>
  <c r="AX329" i="1"/>
  <c r="AX336" i="1" s="1"/>
  <c r="AK36" i="1"/>
  <c r="AK26" i="1"/>
  <c r="AK19" i="1"/>
  <c r="AM337" i="1"/>
  <c r="AM344" i="1"/>
  <c r="AM343" i="1"/>
  <c r="AM336" i="1"/>
  <c r="Z444" i="1"/>
  <c r="AU411" i="1"/>
  <c r="Z422" i="1"/>
  <c r="Z433" i="1"/>
  <c r="Z483" i="1"/>
  <c r="S20" i="216"/>
  <c r="S21" i="216" s="1"/>
  <c r="S22" i="216" s="1"/>
  <c r="T20" i="216"/>
  <c r="T21" i="216" s="1"/>
  <c r="T22" i="216" s="1"/>
  <c r="AC419" i="1"/>
  <c r="AC410" i="1"/>
  <c r="AC430" i="1"/>
  <c r="AC441" i="1"/>
  <c r="AL160" i="1"/>
  <c r="AL167" i="1"/>
  <c r="AL280" i="1"/>
  <c r="AL333" i="1"/>
  <c r="AX157" i="1"/>
  <c r="AX277" i="1"/>
  <c r="AX284" i="1" s="1"/>
  <c r="AX330" i="1"/>
  <c r="AX337" i="1" s="1"/>
  <c r="AK340" i="1"/>
  <c r="AK347" i="1"/>
  <c r="AK130" i="1"/>
  <c r="AK14" i="1"/>
  <c r="AK142" i="1"/>
  <c r="AK135" i="1"/>
  <c r="AK406" i="1"/>
  <c r="AK415" i="1"/>
  <c r="AK437" i="1"/>
  <c r="AA443" i="1"/>
  <c r="AA421" i="1"/>
  <c r="AA432" i="1"/>
  <c r="AA411" i="1"/>
  <c r="U20" i="216" s="1"/>
  <c r="U21" i="216" s="1"/>
  <c r="U22" i="216" s="1"/>
  <c r="AL209" i="1"/>
  <c r="AL216" i="1"/>
  <c r="AL204" i="1"/>
  <c r="AX202" i="1"/>
  <c r="AX209" i="1" s="1"/>
  <c r="AM158" i="1"/>
  <c r="AM165" i="1"/>
  <c r="AM153" i="1"/>
  <c r="AM278" i="1"/>
  <c r="AM331" i="1"/>
  <c r="AX151" i="1"/>
  <c r="AI401" i="1"/>
  <c r="AI479" i="1"/>
  <c r="AI472" i="1"/>
  <c r="AI465" i="1"/>
  <c r="AW390" i="1"/>
  <c r="AM127" i="1"/>
  <c r="AM208" i="1"/>
  <c r="AM215" i="1"/>
  <c r="AX201" i="1"/>
  <c r="AX208" i="1" s="1"/>
  <c r="AG408" i="1"/>
  <c r="AG439" i="1"/>
  <c r="AG417" i="1"/>
  <c r="AG428" i="1"/>
  <c r="AL13" i="1"/>
  <c r="AL134" i="1"/>
  <c r="AL141" i="1"/>
  <c r="N41" i="7"/>
  <c r="N42" i="7"/>
  <c r="AL416" i="1"/>
  <c r="AL438" i="1"/>
  <c r="AT420" i="1"/>
  <c r="AT431" i="1"/>
  <c r="AM405" i="1"/>
  <c r="AM394" i="1"/>
  <c r="AX383" i="1"/>
  <c r="AX394" i="1" s="1"/>
  <c r="AB443" i="1"/>
  <c r="AV410" i="1"/>
  <c r="AB421" i="1"/>
  <c r="AB432" i="1"/>
  <c r="AB411" i="1"/>
  <c r="AJ16" i="1"/>
  <c r="AJ137" i="1"/>
  <c r="AJ144" i="1"/>
  <c r="AL285" i="1"/>
  <c r="AL292" i="1"/>
  <c r="K15" i="194"/>
  <c r="K20" i="194"/>
  <c r="K51" i="194"/>
  <c r="O32" i="2"/>
  <c r="O37" i="2" s="1"/>
  <c r="O45" i="7"/>
  <c r="O40" i="7" s="1"/>
  <c r="P14" i="2"/>
  <c r="AL12" i="1"/>
  <c r="AL128" i="1"/>
  <c r="AL133" i="1"/>
  <c r="AL140" i="1"/>
  <c r="AM126" i="1"/>
  <c r="AM214" i="1"/>
  <c r="AM207" i="1"/>
  <c r="AM202" i="1"/>
  <c r="M51" i="7"/>
  <c r="AM404" i="1"/>
  <c r="AM384" i="1"/>
  <c r="AM393" i="1"/>
  <c r="AW399" i="1"/>
  <c r="AW463" i="1"/>
  <c r="AK218" i="1"/>
  <c r="AK211" i="1"/>
  <c r="AJ21" i="1"/>
  <c r="AJ28" i="1"/>
  <c r="AJ390" i="1"/>
  <c r="AJ399" i="1"/>
  <c r="AJ463" i="1"/>
  <c r="AI30" i="1"/>
  <c r="AI23" i="1"/>
  <c r="AI58" i="1"/>
  <c r="AI57" i="1"/>
  <c r="AW16" i="1"/>
  <c r="AI56" i="1"/>
  <c r="AI59" i="1"/>
  <c r="AH441" i="1"/>
  <c r="AH410" i="1"/>
  <c r="AH419" i="1"/>
  <c r="AH430" i="1"/>
  <c r="AV417" i="1"/>
  <c r="AV428" i="1"/>
  <c r="AK294" i="1"/>
  <c r="AK287" i="1"/>
  <c r="AW415" i="1"/>
  <c r="AW426" i="1"/>
  <c r="AL20" i="1" l="1"/>
  <c r="AL27" i="1"/>
  <c r="AX13" i="1"/>
  <c r="AM292" i="1"/>
  <c r="AM285" i="1"/>
  <c r="AC443" i="1"/>
  <c r="AC432" i="1"/>
  <c r="AC421" i="1"/>
  <c r="AC411" i="1"/>
  <c r="V20" i="216" s="1"/>
  <c r="V21" i="216" s="1"/>
  <c r="V22" i="216" s="1"/>
  <c r="AX158" i="1"/>
  <c r="AX278" i="1"/>
  <c r="AX285" i="1" s="1"/>
  <c r="AX331" i="1"/>
  <c r="AX338" i="1" s="1"/>
  <c r="AM160" i="1"/>
  <c r="AM167" i="1"/>
  <c r="AM280" i="1"/>
  <c r="AM333" i="1"/>
  <c r="AL408" i="1"/>
  <c r="AL417" i="1"/>
  <c r="AL428" i="1"/>
  <c r="AL439" i="1"/>
  <c r="AD443" i="1"/>
  <c r="O42" i="7"/>
  <c r="O41" i="7"/>
  <c r="AL218" i="1"/>
  <c r="AL211" i="1"/>
  <c r="AM416" i="1"/>
  <c r="AM438" i="1"/>
  <c r="AK38" i="1"/>
  <c r="AK37" i="1"/>
  <c r="AU420" i="1"/>
  <c r="AU431" i="1"/>
  <c r="AV431" i="1"/>
  <c r="AI410" i="1"/>
  <c r="AJ443" i="1" s="1"/>
  <c r="AI441" i="1"/>
  <c r="AI419" i="1"/>
  <c r="AI430" i="1"/>
  <c r="AV432" i="1"/>
  <c r="AV421" i="1"/>
  <c r="AK21" i="1"/>
  <c r="AK28" i="1"/>
  <c r="AM395" i="1"/>
  <c r="AM386" i="1"/>
  <c r="AM13" i="1"/>
  <c r="AM134" i="1"/>
  <c r="AM141" i="1"/>
  <c r="AA433" i="1"/>
  <c r="AA444" i="1"/>
  <c r="AA422" i="1"/>
  <c r="AA483" i="1"/>
  <c r="AM406" i="1"/>
  <c r="AM415" i="1"/>
  <c r="AM437" i="1"/>
  <c r="K22" i="194"/>
  <c r="K53" i="194"/>
  <c r="AX405" i="1"/>
  <c r="AW401" i="1"/>
  <c r="AW479" i="1"/>
  <c r="AW472" i="1"/>
  <c r="AW465" i="1"/>
  <c r="AX153" i="1"/>
  <c r="AX384" i="1"/>
  <c r="AX395" i="1" s="1"/>
  <c r="AE443" i="1"/>
  <c r="AE432" i="1"/>
  <c r="AE421" i="1"/>
  <c r="AE411" i="1"/>
  <c r="P45" i="7"/>
  <c r="P40" i="7" s="1"/>
  <c r="Q14" i="2"/>
  <c r="P32" i="2"/>
  <c r="P37" i="2" s="1"/>
  <c r="AW23" i="1"/>
  <c r="J15" i="2"/>
  <c r="AW57" i="1"/>
  <c r="AW58" i="1"/>
  <c r="AW56" i="1"/>
  <c r="AW59" i="1"/>
  <c r="AL347" i="1"/>
  <c r="AL340" i="1"/>
  <c r="AL388" i="1"/>
  <c r="AL397" i="1"/>
  <c r="AH421" i="1"/>
  <c r="AH432" i="1"/>
  <c r="AH411" i="1"/>
  <c r="AK390" i="1"/>
  <c r="AK399" i="1"/>
  <c r="AK463" i="1"/>
  <c r="AF432" i="1"/>
  <c r="AF411" i="1"/>
  <c r="AF443" i="1"/>
  <c r="AF421" i="1"/>
  <c r="AG410" i="1"/>
  <c r="AG419" i="1"/>
  <c r="AG430" i="1"/>
  <c r="AG441" i="1"/>
  <c r="AL294" i="1"/>
  <c r="AL287" i="1"/>
  <c r="Z493" i="1"/>
  <c r="Z488" i="1"/>
  <c r="Z482" i="1"/>
  <c r="AM209" i="1"/>
  <c r="AM216" i="1"/>
  <c r="AM204" i="1"/>
  <c r="N51" i="7"/>
  <c r="AX404" i="1"/>
  <c r="AJ441" i="1"/>
  <c r="AL130" i="1"/>
  <c r="AL14" i="1"/>
  <c r="AL142" i="1"/>
  <c r="AL135" i="1"/>
  <c r="AL36" i="1"/>
  <c r="AL26" i="1"/>
  <c r="AL19" i="1"/>
  <c r="N15" i="194"/>
  <c r="N20" i="194"/>
  <c r="N51" i="194"/>
  <c r="AK16" i="1"/>
  <c r="AK137" i="1"/>
  <c r="AK144" i="1"/>
  <c r="AJ401" i="1"/>
  <c r="AJ472" i="1"/>
  <c r="AJ479" i="1"/>
  <c r="AJ465" i="1"/>
  <c r="AJ23" i="1"/>
  <c r="AJ30" i="1"/>
  <c r="AJ58" i="1"/>
  <c r="AJ57" i="1"/>
  <c r="AJ56" i="1"/>
  <c r="AJ59" i="1"/>
  <c r="AU422" i="1"/>
  <c r="AU433" i="1"/>
  <c r="AJ412" i="1"/>
  <c r="AJ421" i="1"/>
  <c r="AJ432" i="1"/>
  <c r="AJ482" i="1"/>
  <c r="AD422" i="1"/>
  <c r="AD433" i="1"/>
  <c r="AD483" i="1"/>
  <c r="AM128" i="1"/>
  <c r="AM12" i="1"/>
  <c r="AX12" i="1" s="1"/>
  <c r="AM133" i="1"/>
  <c r="AM140" i="1"/>
  <c r="AB422" i="1"/>
  <c r="AB433" i="1"/>
  <c r="AB444" i="1"/>
  <c r="AB483" i="1"/>
  <c r="AV411" i="1"/>
  <c r="AM338" i="1"/>
  <c r="AM345" i="1"/>
  <c r="AK408" i="1"/>
  <c r="AK428" i="1"/>
  <c r="AK439" i="1"/>
  <c r="AK417" i="1"/>
  <c r="AX406" i="1"/>
  <c r="AW408" i="1"/>
  <c r="O11" i="194" l="1"/>
  <c r="AX36" i="1"/>
  <c r="AX37" i="1" s="1"/>
  <c r="AX19" i="1"/>
  <c r="AJ492" i="1"/>
  <c r="AJ484" i="1"/>
  <c r="AL21" i="1"/>
  <c r="AL28" i="1"/>
  <c r="AL390" i="1"/>
  <c r="AL399" i="1"/>
  <c r="AL463" i="1"/>
  <c r="AL16" i="1"/>
  <c r="AL137" i="1"/>
  <c r="AL144" i="1"/>
  <c r="Y20" i="216"/>
  <c r="Y21" i="216" s="1"/>
  <c r="Y22" i="216" s="1"/>
  <c r="AM347" i="1"/>
  <c r="AM340" i="1"/>
  <c r="AK410" i="1"/>
  <c r="AK441" i="1"/>
  <c r="AK430" i="1"/>
  <c r="AK419" i="1"/>
  <c r="AV422" i="1"/>
  <c r="AV433" i="1"/>
  <c r="AG432" i="1"/>
  <c r="AG443" i="1"/>
  <c r="AG421" i="1"/>
  <c r="AG411" i="1"/>
  <c r="AM294" i="1"/>
  <c r="AM287" i="1"/>
  <c r="AX415" i="1"/>
  <c r="AX426" i="1"/>
  <c r="AX160" i="1"/>
  <c r="AX280" i="1"/>
  <c r="AX287" i="1" s="1"/>
  <c r="AX333" i="1"/>
  <c r="AX340" i="1" s="1"/>
  <c r="AK23" i="1"/>
  <c r="AK30" i="1"/>
  <c r="AK58" i="1"/>
  <c r="AK57" i="1"/>
  <c r="AK56" i="1"/>
  <c r="AK59" i="1"/>
  <c r="AM218" i="1"/>
  <c r="AM211" i="1"/>
  <c r="AI412" i="1"/>
  <c r="AI421" i="1"/>
  <c r="AI432" i="1"/>
  <c r="AI443" i="1"/>
  <c r="AI482" i="1"/>
  <c r="AW410" i="1"/>
  <c r="AX204" i="1"/>
  <c r="AX211" i="1" s="1"/>
  <c r="N22" i="194"/>
  <c r="N53" i="194"/>
  <c r="Z487" i="1"/>
  <c r="Z492" i="1"/>
  <c r="AA493" i="1"/>
  <c r="AA488" i="1"/>
  <c r="AA482" i="1"/>
  <c r="AU482" i="1" s="1"/>
  <c r="AB493" i="1"/>
  <c r="AV483" i="1"/>
  <c r="AB488" i="1"/>
  <c r="AB482" i="1"/>
  <c r="AM397" i="1"/>
  <c r="AM388" i="1"/>
  <c r="AX386" i="1"/>
  <c r="AX397" i="1" s="1"/>
  <c r="AX416" i="1"/>
  <c r="AX427" i="1"/>
  <c r="AM14" i="1"/>
  <c r="AX14" i="1" s="1"/>
  <c r="AX21" i="1" s="1"/>
  <c r="AM130" i="1"/>
  <c r="AM142" i="1"/>
  <c r="AM135" i="1"/>
  <c r="AU483" i="1"/>
  <c r="AK401" i="1"/>
  <c r="AK472" i="1"/>
  <c r="AK479" i="1"/>
  <c r="AK465" i="1"/>
  <c r="AC422" i="1"/>
  <c r="AC433" i="1"/>
  <c r="AC444" i="1"/>
  <c r="AC483" i="1"/>
  <c r="X20" i="216"/>
  <c r="X21" i="216" s="1"/>
  <c r="X22" i="216" s="1"/>
  <c r="W20" i="216"/>
  <c r="W21" i="216" s="1"/>
  <c r="W22" i="216" s="1"/>
  <c r="AM36" i="1"/>
  <c r="AM26" i="1"/>
  <c r="AM19" i="1"/>
  <c r="AW419" i="1"/>
  <c r="AW430" i="1"/>
  <c r="AX417" i="1"/>
  <c r="AX428" i="1"/>
  <c r="AX388" i="1"/>
  <c r="AH422" i="1"/>
  <c r="AH433" i="1"/>
  <c r="AH483" i="1"/>
  <c r="AI444" i="1"/>
  <c r="AL433" i="1"/>
  <c r="Q45" i="7"/>
  <c r="Q40" i="7" s="1"/>
  <c r="R14" i="2"/>
  <c r="Q32" i="2"/>
  <c r="Q37" i="2" s="1"/>
  <c r="O51" i="7"/>
  <c r="AM20" i="1"/>
  <c r="AM27" i="1"/>
  <c r="AJ40" i="1"/>
  <c r="AJ423" i="1"/>
  <c r="AJ434" i="1"/>
  <c r="AJ445" i="1"/>
  <c r="AF422" i="1"/>
  <c r="AF433" i="1"/>
  <c r="AF483" i="1"/>
  <c r="AF444" i="1"/>
  <c r="AJ433" i="1"/>
  <c r="J82" i="2"/>
  <c r="J65" i="2"/>
  <c r="J25" i="2"/>
  <c r="J16" i="2" s="1"/>
  <c r="J17" i="2" s="1"/>
  <c r="J13" i="2"/>
  <c r="J46" i="7"/>
  <c r="AD493" i="1"/>
  <c r="AD488" i="1"/>
  <c r="AD482" i="1"/>
  <c r="AH443" i="1"/>
  <c r="P41" i="7"/>
  <c r="P42" i="7"/>
  <c r="AD444" i="1"/>
  <c r="AL38" i="1"/>
  <c r="AL37" i="1"/>
  <c r="AE422" i="1"/>
  <c r="AE433" i="1"/>
  <c r="AE444" i="1"/>
  <c r="AE483" i="1"/>
  <c r="AI433" i="1"/>
  <c r="AM408" i="1"/>
  <c r="AX408" i="1" s="1"/>
  <c r="AM417" i="1"/>
  <c r="AM428" i="1"/>
  <c r="AM439" i="1"/>
  <c r="O12" i="194"/>
  <c r="AX20" i="1"/>
  <c r="AL410" i="1"/>
  <c r="AL441" i="1"/>
  <c r="AL419" i="1"/>
  <c r="AL430" i="1"/>
  <c r="AX419" i="1" l="1"/>
  <c r="AX430" i="1"/>
  <c r="AU487" i="1"/>
  <c r="AU492" i="1"/>
  <c r="O19" i="194"/>
  <c r="O50" i="194"/>
  <c r="AD487" i="1"/>
  <c r="AD492" i="1"/>
  <c r="AV493" i="1"/>
  <c r="AV488" i="1"/>
  <c r="I32" i="2"/>
  <c r="AI40" i="1"/>
  <c r="AI423" i="1"/>
  <c r="AW412" i="1"/>
  <c r="AI445" i="1"/>
  <c r="AI434" i="1"/>
  <c r="AG422" i="1"/>
  <c r="AG433" i="1"/>
  <c r="AG444" i="1"/>
  <c r="AG483" i="1"/>
  <c r="AK433" i="1"/>
  <c r="AL23" i="1"/>
  <c r="AL30" i="1"/>
  <c r="AL58" i="1"/>
  <c r="AL57" i="1"/>
  <c r="AL56" i="1"/>
  <c r="AL59" i="1"/>
  <c r="AJ41" i="1"/>
  <c r="AJ61" i="1"/>
  <c r="AJ42" i="1"/>
  <c r="AL401" i="1"/>
  <c r="AL472" i="1"/>
  <c r="AL479" i="1"/>
  <c r="AL465" i="1"/>
  <c r="AU493" i="1"/>
  <c r="H32" i="2"/>
  <c r="AU488" i="1"/>
  <c r="AX399" i="1"/>
  <c r="AX463" i="1"/>
  <c r="J23" i="2"/>
  <c r="J11" i="2"/>
  <c r="AM16" i="1"/>
  <c r="AX16" i="1" s="1"/>
  <c r="AM137" i="1"/>
  <c r="AM144" i="1"/>
  <c r="AA487" i="1"/>
  <c r="AA492" i="1"/>
  <c r="AM410" i="1"/>
  <c r="AM441" i="1"/>
  <c r="AM430" i="1"/>
  <c r="AM419" i="1"/>
  <c r="AJ494" i="1"/>
  <c r="AJ489" i="1"/>
  <c r="R32" i="2"/>
  <c r="R37" i="2" s="1"/>
  <c r="R45" i="7"/>
  <c r="R40" i="7" s="1"/>
  <c r="S14" i="2"/>
  <c r="AA20" i="216"/>
  <c r="AA21" i="216" s="1"/>
  <c r="AA22" i="216" s="1"/>
  <c r="AK412" i="1"/>
  <c r="AK443" i="1"/>
  <c r="AK421" i="1"/>
  <c r="AK432" i="1"/>
  <c r="AK482" i="1"/>
  <c r="AX410" i="1"/>
  <c r="J47" i="7"/>
  <c r="J44" i="7"/>
  <c r="J37" i="7" s="1"/>
  <c r="AW421" i="1"/>
  <c r="AW432" i="1"/>
  <c r="Z20" i="216"/>
  <c r="Z21" i="216" s="1"/>
  <c r="Z22" i="216" s="1"/>
  <c r="AE493" i="1"/>
  <c r="AE488" i="1"/>
  <c r="AE482" i="1"/>
  <c r="AI488" i="1"/>
  <c r="AM38" i="1"/>
  <c r="AM37" i="1"/>
  <c r="Q42" i="7"/>
  <c r="Q41" i="7"/>
  <c r="AF488" i="1"/>
  <c r="AJ488" i="1"/>
  <c r="AW483" i="1"/>
  <c r="AF493" i="1"/>
  <c r="AF482" i="1"/>
  <c r="AW411" i="1"/>
  <c r="AC493" i="1"/>
  <c r="AC488" i="1"/>
  <c r="AC482" i="1"/>
  <c r="AM390" i="1"/>
  <c r="AM399" i="1"/>
  <c r="AM463" i="1"/>
  <c r="AI492" i="1"/>
  <c r="AI484" i="1"/>
  <c r="AI487" i="1"/>
  <c r="AM21" i="1"/>
  <c r="AM28" i="1"/>
  <c r="AL412" i="1"/>
  <c r="AL443" i="1"/>
  <c r="AL421" i="1"/>
  <c r="AL432" i="1"/>
  <c r="AL482" i="1"/>
  <c r="P51" i="7"/>
  <c r="AH444" i="1"/>
  <c r="AH488" i="1"/>
  <c r="AL488" i="1"/>
  <c r="AH493" i="1"/>
  <c r="AH482" i="1"/>
  <c r="AB487" i="1"/>
  <c r="AB492" i="1"/>
  <c r="AV482" i="1"/>
  <c r="O13" i="194"/>
  <c r="O18" i="194"/>
  <c r="O49" i="194"/>
  <c r="AX23" i="1" l="1"/>
  <c r="K15" i="2"/>
  <c r="AX58" i="1"/>
  <c r="AX57" i="1"/>
  <c r="AX56" i="1"/>
  <c r="AX59" i="1"/>
  <c r="AX432" i="1"/>
  <c r="AX421" i="1"/>
  <c r="O20" i="194"/>
  <c r="O15" i="194"/>
  <c r="O51" i="194"/>
  <c r="AK492" i="1"/>
  <c r="AK484" i="1"/>
  <c r="AM412" i="1"/>
  <c r="AM421" i="1"/>
  <c r="AM443" i="1"/>
  <c r="AM432" i="1"/>
  <c r="AM482" i="1"/>
  <c r="AX482" i="1" s="1"/>
  <c r="AV487" i="1"/>
  <c r="AV492" i="1"/>
  <c r="J21" i="2"/>
  <c r="J18" i="2"/>
  <c r="I42" i="2"/>
  <c r="I37" i="2"/>
  <c r="I31" i="2"/>
  <c r="AH492" i="1"/>
  <c r="AH487" i="1"/>
  <c r="AK40" i="1"/>
  <c r="AK423" i="1"/>
  <c r="AK445" i="1"/>
  <c r="AK434" i="1"/>
  <c r="T14" i="2"/>
  <c r="S45" i="7"/>
  <c r="S40" i="7" s="1"/>
  <c r="S32" i="2"/>
  <c r="S37" i="2" s="1"/>
  <c r="AW434" i="1"/>
  <c r="AW423" i="1"/>
  <c r="AJ67" i="1"/>
  <c r="AJ63" i="1"/>
  <c r="AJ73" i="1"/>
  <c r="AJ64" i="1"/>
  <c r="AJ62" i="1"/>
  <c r="AI41" i="1"/>
  <c r="AI61" i="1"/>
  <c r="AW40" i="1"/>
  <c r="AI42" i="1"/>
  <c r="AM401" i="1"/>
  <c r="AM472" i="1"/>
  <c r="AM479" i="1"/>
  <c r="AM465" i="1"/>
  <c r="AW493" i="1"/>
  <c r="AW488" i="1"/>
  <c r="J32" i="2"/>
  <c r="AX488" i="1"/>
  <c r="Q51" i="7"/>
  <c r="R41" i="7"/>
  <c r="R42" i="7"/>
  <c r="AC487" i="1"/>
  <c r="AC492" i="1"/>
  <c r="H37" i="2"/>
  <c r="H42" i="2"/>
  <c r="H31" i="2"/>
  <c r="J38" i="7"/>
  <c r="J35" i="7"/>
  <c r="J31" i="7" s="1"/>
  <c r="AI494" i="1"/>
  <c r="AI489" i="1"/>
  <c r="AW484" i="1"/>
  <c r="AM23" i="1"/>
  <c r="AM30" i="1"/>
  <c r="AM57" i="1"/>
  <c r="AM58" i="1"/>
  <c r="AM56" i="1"/>
  <c r="AM59" i="1"/>
  <c r="AE487" i="1"/>
  <c r="AE492" i="1"/>
  <c r="AL487" i="1"/>
  <c r="AL492" i="1"/>
  <c r="AL484" i="1"/>
  <c r="AW422" i="1"/>
  <c r="AW433" i="1"/>
  <c r="AX433" i="1"/>
  <c r="AF487" i="1"/>
  <c r="AF492" i="1"/>
  <c r="AJ487" i="1"/>
  <c r="AX390" i="1"/>
  <c r="AG488" i="1"/>
  <c r="AK488" i="1"/>
  <c r="AG493" i="1"/>
  <c r="AG482" i="1"/>
  <c r="AK487" i="1" s="1"/>
  <c r="AL40" i="1"/>
  <c r="AL434" i="1"/>
  <c r="AL445" i="1"/>
  <c r="AL423" i="1"/>
  <c r="AX492" i="1" l="1"/>
  <c r="AW41" i="1"/>
  <c r="AW42" i="1"/>
  <c r="K24" i="194"/>
  <c r="AI67" i="1"/>
  <c r="AI63" i="1"/>
  <c r="AI64" i="1"/>
  <c r="AI73" i="1"/>
  <c r="AI62" i="1"/>
  <c r="AW61" i="1"/>
  <c r="R51" i="7"/>
  <c r="AJ75" i="1"/>
  <c r="AJ74" i="1"/>
  <c r="AJ79" i="1"/>
  <c r="AJ91" i="1"/>
  <c r="I41" i="2"/>
  <c r="I36" i="2"/>
  <c r="I46" i="2"/>
  <c r="AX401" i="1"/>
  <c r="AX479" i="1"/>
  <c r="AX472" i="1"/>
  <c r="AX465" i="1"/>
  <c r="AL42" i="1"/>
  <c r="AL41" i="1"/>
  <c r="AL61" i="1"/>
  <c r="AG492" i="1"/>
  <c r="AG487" i="1"/>
  <c r="AK494" i="1"/>
  <c r="AK489" i="1"/>
  <c r="J37" i="2"/>
  <c r="J42" i="2"/>
  <c r="K37" i="2"/>
  <c r="AM40" i="1"/>
  <c r="AM434" i="1"/>
  <c r="AM445" i="1"/>
  <c r="AM423" i="1"/>
  <c r="AW482" i="1"/>
  <c r="AK41" i="1"/>
  <c r="AK61" i="1"/>
  <c r="AK42" i="1"/>
  <c r="AX40" i="1"/>
  <c r="O22" i="194"/>
  <c r="O53" i="194"/>
  <c r="AJ69" i="1"/>
  <c r="AJ68" i="1"/>
  <c r="AJ70" i="1"/>
  <c r="AW494" i="1"/>
  <c r="AW489" i="1"/>
  <c r="S41" i="7"/>
  <c r="S42" i="7"/>
  <c r="AM487" i="1"/>
  <c r="AM492" i="1"/>
  <c r="AM484" i="1"/>
  <c r="J33" i="7"/>
  <c r="J32" i="7"/>
  <c r="T45" i="7"/>
  <c r="T40" i="7" s="1"/>
  <c r="U14" i="2"/>
  <c r="T32" i="2"/>
  <c r="T37" i="2" s="1"/>
  <c r="AL494" i="1"/>
  <c r="AL489" i="1"/>
  <c r="H36" i="2"/>
  <c r="H41" i="2"/>
  <c r="H46" i="2"/>
  <c r="AX412" i="1"/>
  <c r="K13" i="2"/>
  <c r="K25" i="2"/>
  <c r="K16" i="2" s="1"/>
  <c r="K17" i="2" s="1"/>
  <c r="K46" i="7"/>
  <c r="K82" i="2"/>
  <c r="L82" i="2" s="1"/>
  <c r="K65" i="2"/>
  <c r="L65" i="2" s="1"/>
  <c r="AK64" i="1" l="1"/>
  <c r="AK67" i="1"/>
  <c r="AK63" i="1"/>
  <c r="AK73" i="1"/>
  <c r="AK62" i="1"/>
  <c r="N24" i="194"/>
  <c r="AW64" i="1"/>
  <c r="AW63" i="1"/>
  <c r="AW67" i="1"/>
  <c r="AW62" i="1"/>
  <c r="J33" i="2"/>
  <c r="AJ80" i="1"/>
  <c r="AJ82" i="1"/>
  <c r="T42" i="7"/>
  <c r="T41" i="7"/>
  <c r="AI75" i="1"/>
  <c r="AI91" i="1"/>
  <c r="AI74" i="1"/>
  <c r="AI79" i="1"/>
  <c r="AW73" i="1"/>
  <c r="M65" i="2"/>
  <c r="M82" i="2"/>
  <c r="U45" i="7"/>
  <c r="U40" i="7" s="1"/>
  <c r="U32" i="2"/>
  <c r="U37" i="2" s="1"/>
  <c r="AW487" i="1"/>
  <c r="AW492" i="1"/>
  <c r="K47" i="7"/>
  <c r="K44" i="7"/>
  <c r="K37" i="7" s="1"/>
  <c r="AX41" i="1"/>
  <c r="AX42" i="1"/>
  <c r="AL62" i="1"/>
  <c r="AL64" i="1"/>
  <c r="AL73" i="1"/>
  <c r="AL67" i="1"/>
  <c r="AL63" i="1"/>
  <c r="AM42" i="1"/>
  <c r="AM41" i="1"/>
  <c r="AM61" i="1"/>
  <c r="K26" i="194"/>
  <c r="K25" i="194"/>
  <c r="K55" i="194"/>
  <c r="AM494" i="1"/>
  <c r="AM489" i="1"/>
  <c r="AX434" i="1"/>
  <c r="AX423" i="1"/>
  <c r="AI69" i="1"/>
  <c r="AI68" i="1"/>
  <c r="AI70" i="1"/>
  <c r="L13" i="2"/>
  <c r="K23" i="2"/>
  <c r="K11" i="2"/>
  <c r="AJ93" i="1"/>
  <c r="S51" i="7"/>
  <c r="AX484" i="1"/>
  <c r="AX487" i="1"/>
  <c r="AJ106" i="1" l="1"/>
  <c r="U41" i="7"/>
  <c r="U42" i="7"/>
  <c r="N82" i="2"/>
  <c r="N65" i="2"/>
  <c r="J38" i="2"/>
  <c r="J48" i="2"/>
  <c r="J31" i="2"/>
  <c r="J43" i="2"/>
  <c r="J51" i="2"/>
  <c r="J27" i="2"/>
  <c r="N26" i="194"/>
  <c r="N25" i="194"/>
  <c r="N55" i="194"/>
  <c r="K38" i="7"/>
  <c r="K35" i="7"/>
  <c r="K31" i="7" s="1"/>
  <c r="AJ86" i="1"/>
  <c r="AJ87" i="1" s="1"/>
  <c r="AJ84" i="1"/>
  <c r="AJ85" i="1" s="1"/>
  <c r="AX494" i="1"/>
  <c r="AX489" i="1"/>
  <c r="AW74" i="1"/>
  <c r="AW75" i="1"/>
  <c r="AK75" i="1"/>
  <c r="AK74" i="1"/>
  <c r="AK79" i="1"/>
  <c r="AK91" i="1"/>
  <c r="AX73" i="1"/>
  <c r="T51" i="7"/>
  <c r="AM62" i="1"/>
  <c r="AM64" i="1"/>
  <c r="AM67" i="1"/>
  <c r="AM63" i="1"/>
  <c r="AM73" i="1"/>
  <c r="AW68" i="1"/>
  <c r="AW70" i="1"/>
  <c r="AW69" i="1"/>
  <c r="AJ95" i="1"/>
  <c r="AJ99" i="1"/>
  <c r="AJ94" i="1"/>
  <c r="AJ96" i="1"/>
  <c r="K18" i="2"/>
  <c r="K21" i="2"/>
  <c r="AL69" i="1"/>
  <c r="AL70" i="1"/>
  <c r="AL68" i="1"/>
  <c r="AX61" i="1"/>
  <c r="L15" i="2"/>
  <c r="L11" i="2"/>
  <c r="M13" i="2"/>
  <c r="AL79" i="1"/>
  <c r="AL75" i="1"/>
  <c r="AL91" i="1"/>
  <c r="AL93" i="1" s="1"/>
  <c r="AL74" i="1"/>
  <c r="AI80" i="1"/>
  <c r="AI82" i="1"/>
  <c r="AW79" i="1"/>
  <c r="AI93" i="1"/>
  <c r="AW91" i="1"/>
  <c r="AW93" i="1" s="1"/>
  <c r="AK69" i="1"/>
  <c r="AK68" i="1"/>
  <c r="AK70" i="1"/>
  <c r="AW94" i="1" l="1"/>
  <c r="AW96" i="1"/>
  <c r="AW95" i="1"/>
  <c r="AW99" i="1"/>
  <c r="AX74" i="1"/>
  <c r="AX75" i="1"/>
  <c r="J36" i="2"/>
  <c r="J41" i="2"/>
  <c r="J46" i="2"/>
  <c r="O24" i="194"/>
  <c r="AX67" i="1"/>
  <c r="AX64" i="1"/>
  <c r="AX63" i="1"/>
  <c r="AX62" i="1"/>
  <c r="K33" i="2"/>
  <c r="J29" i="2"/>
  <c r="J28" i="2"/>
  <c r="AI86" i="1"/>
  <c r="AI84" i="1"/>
  <c r="AI85" i="1" s="1"/>
  <c r="AW82" i="1"/>
  <c r="AW84" i="1" s="1"/>
  <c r="AW85" i="1" s="1"/>
  <c r="AW80" i="1"/>
  <c r="AW88" i="1" s="1"/>
  <c r="AI106" i="1"/>
  <c r="AW106" i="1" s="1"/>
  <c r="AL95" i="1"/>
  <c r="AL99" i="1"/>
  <c r="AL94" i="1"/>
  <c r="AL96" i="1"/>
  <c r="K33" i="7"/>
  <c r="L33" i="7" s="1"/>
  <c r="M33" i="7" s="1"/>
  <c r="N33" i="7" s="1"/>
  <c r="O33" i="7" s="1"/>
  <c r="P33" i="7" s="1"/>
  <c r="Q33" i="7" s="1"/>
  <c r="R33" i="7" s="1"/>
  <c r="S33" i="7" s="1"/>
  <c r="T33" i="7" s="1"/>
  <c r="U33" i="7" s="1"/>
  <c r="K32" i="7"/>
  <c r="AK93" i="1"/>
  <c r="AK80" i="1"/>
  <c r="AK82" i="1"/>
  <c r="AL80" i="1"/>
  <c r="AL106" i="1" s="1"/>
  <c r="AL82" i="1"/>
  <c r="O65" i="2"/>
  <c r="AI94" i="1"/>
  <c r="AI96" i="1"/>
  <c r="AI95" i="1"/>
  <c r="AI99" i="1"/>
  <c r="N13" i="2"/>
  <c r="M11" i="2"/>
  <c r="M15" i="2"/>
  <c r="AM79" i="1"/>
  <c r="AM75" i="1"/>
  <c r="AM74" i="1"/>
  <c r="AM91" i="1"/>
  <c r="AM93" i="1" s="1"/>
  <c r="O82" i="2"/>
  <c r="J77" i="2"/>
  <c r="J108" i="2" s="1"/>
  <c r="AC125" i="2" s="1"/>
  <c r="J54" i="2"/>
  <c r="J53" i="2"/>
  <c r="J52" i="2"/>
  <c r="J67" i="2"/>
  <c r="J57" i="2"/>
  <c r="J59" i="2" s="1"/>
  <c r="AJ102" i="1"/>
  <c r="AJ108" i="1"/>
  <c r="AJ101" i="1"/>
  <c r="AJ100" i="1"/>
  <c r="L21" i="2"/>
  <c r="L46" i="7"/>
  <c r="L25" i="2"/>
  <c r="L16" i="2" s="1"/>
  <c r="L17" i="2" s="1"/>
  <c r="L64" i="2"/>
  <c r="L81" i="2"/>
  <c r="L58" i="2" s="1"/>
  <c r="AM70" i="1"/>
  <c r="AM69" i="1"/>
  <c r="AM68" i="1"/>
  <c r="U51" i="7"/>
  <c r="J60" i="2" l="1"/>
  <c r="J61" i="2" s="1"/>
  <c r="J62" i="2"/>
  <c r="AK106" i="1"/>
  <c r="L44" i="7"/>
  <c r="L37" i="7" s="1"/>
  <c r="L47" i="7"/>
  <c r="AX91" i="1"/>
  <c r="AX93" i="1" s="1"/>
  <c r="K38" i="2"/>
  <c r="K48" i="2"/>
  <c r="K31" i="2"/>
  <c r="K43" i="2"/>
  <c r="K51" i="2"/>
  <c r="K95" i="2"/>
  <c r="K93" i="2" s="1"/>
  <c r="K27" i="2"/>
  <c r="AI102" i="1"/>
  <c r="AI108" i="1"/>
  <c r="AI112" i="1" s="1"/>
  <c r="AI101" i="1"/>
  <c r="AI100" i="1"/>
  <c r="M25" i="2"/>
  <c r="M16" i="2" s="1"/>
  <c r="M17" i="2" s="1"/>
  <c r="M46" i="7"/>
  <c r="M81" i="2"/>
  <c r="M58" i="2" s="1"/>
  <c r="M64" i="2"/>
  <c r="AX68" i="1"/>
  <c r="AX70" i="1"/>
  <c r="AX69" i="1"/>
  <c r="AK86" i="1"/>
  <c r="AK87" i="1" s="1"/>
  <c r="AK84" i="1"/>
  <c r="AK85" i="1" s="1"/>
  <c r="AM80" i="1"/>
  <c r="AM106" i="1" s="1"/>
  <c r="AM82" i="1"/>
  <c r="AX82" i="1" s="1"/>
  <c r="AX84" i="1" s="1"/>
  <c r="AX85" i="1" s="1"/>
  <c r="M21" i="2"/>
  <c r="O26" i="194"/>
  <c r="O25" i="194"/>
  <c r="O55" i="194"/>
  <c r="P65" i="2"/>
  <c r="AW101" i="1"/>
  <c r="AW100" i="1"/>
  <c r="AW108" i="1"/>
  <c r="AW112" i="1" s="1"/>
  <c r="AW102" i="1"/>
  <c r="AI87" i="1"/>
  <c r="AW86" i="1"/>
  <c r="AW87" i="1" s="1"/>
  <c r="AX86" i="1"/>
  <c r="AX87" i="1" s="1"/>
  <c r="AM99" i="1"/>
  <c r="AM95" i="1"/>
  <c r="AM94" i="1"/>
  <c r="AM96" i="1"/>
  <c r="AK95" i="1"/>
  <c r="AK99" i="1"/>
  <c r="AK94" i="1"/>
  <c r="AK96" i="1"/>
  <c r="AJ112" i="1"/>
  <c r="AJ113" i="1" s="1"/>
  <c r="N11" i="2"/>
  <c r="O13" i="2"/>
  <c r="N15" i="2"/>
  <c r="AL100" i="1"/>
  <c r="AL102" i="1"/>
  <c r="AL108" i="1"/>
  <c r="AL112" i="1" s="1"/>
  <c r="AL113" i="1" s="1"/>
  <c r="AL101" i="1"/>
  <c r="J68" i="2"/>
  <c r="J70" i="2"/>
  <c r="J69" i="2"/>
  <c r="J86" i="2"/>
  <c r="AL86" i="1"/>
  <c r="AL87" i="1" s="1"/>
  <c r="AL84" i="1"/>
  <c r="AL85" i="1" s="1"/>
  <c r="P82" i="2"/>
  <c r="AX79" i="1"/>
  <c r="K53" i="2" l="1"/>
  <c r="K57" i="2"/>
  <c r="K59" i="2" s="1"/>
  <c r="K54" i="2"/>
  <c r="K67" i="2"/>
  <c r="K52" i="2"/>
  <c r="AM100" i="1"/>
  <c r="AM102" i="1"/>
  <c r="AM108" i="1"/>
  <c r="AM112" i="1" s="1"/>
  <c r="AM113" i="1" s="1"/>
  <c r="AM101" i="1"/>
  <c r="N25" i="2"/>
  <c r="N16" i="2" s="1"/>
  <c r="N17" i="2" s="1"/>
  <c r="N46" i="7"/>
  <c r="N81" i="2"/>
  <c r="N58" i="2" s="1"/>
  <c r="N64" i="2"/>
  <c r="K36" i="2"/>
  <c r="K41" i="2"/>
  <c r="K46" i="2"/>
  <c r="L46" i="2" s="1"/>
  <c r="Q65" i="2"/>
  <c r="AX94" i="1"/>
  <c r="AX95" i="1"/>
  <c r="AX99" i="1"/>
  <c r="AX96" i="1"/>
  <c r="AW113" i="1"/>
  <c r="J91" i="2"/>
  <c r="J90" i="2" s="1"/>
  <c r="N21" i="2"/>
  <c r="M44" i="7"/>
  <c r="M37" i="7" s="1"/>
  <c r="M47" i="7"/>
  <c r="AI113" i="1"/>
  <c r="AI120" i="1"/>
  <c r="O11" i="2"/>
  <c r="O15" i="2"/>
  <c r="P13" i="2"/>
  <c r="L35" i="7"/>
  <c r="L31" i="7" s="1"/>
  <c r="L38" i="7"/>
  <c r="Q82" i="2"/>
  <c r="AX80" i="1"/>
  <c r="AX88" i="1" s="1"/>
  <c r="AM84" i="1"/>
  <c r="AM85" i="1" s="1"/>
  <c r="AM86" i="1"/>
  <c r="AM87" i="1" s="1"/>
  <c r="K28" i="2"/>
  <c r="K29" i="2"/>
  <c r="AK102" i="1"/>
  <c r="AK108" i="1"/>
  <c r="AK101" i="1"/>
  <c r="AK100" i="1"/>
  <c r="J109" i="2"/>
  <c r="AC124" i="2" s="1"/>
  <c r="J87" i="2"/>
  <c r="AX106" i="1"/>
  <c r="K60" i="2" l="1"/>
  <c r="K61" i="2" s="1"/>
  <c r="K62" i="2"/>
  <c r="AK112" i="1"/>
  <c r="AK113" i="1" s="1"/>
  <c r="AX108" i="1"/>
  <c r="AX112" i="1" s="1"/>
  <c r="AX113" i="1" s="1"/>
  <c r="AX101" i="1"/>
  <c r="AX100" i="1"/>
  <c r="AX102" i="1"/>
  <c r="R65" i="2"/>
  <c r="R82" i="2"/>
  <c r="K68" i="2"/>
  <c r="K70" i="2"/>
  <c r="K69" i="2"/>
  <c r="P11" i="2"/>
  <c r="Q13" i="2"/>
  <c r="P15" i="2"/>
  <c r="O46" i="7"/>
  <c r="O25" i="2"/>
  <c r="O16" i="2" s="1"/>
  <c r="O17" i="2" s="1"/>
  <c r="O81" i="2"/>
  <c r="O58" i="2" s="1"/>
  <c r="O64" i="2"/>
  <c r="M46" i="2"/>
  <c r="M35" i="7"/>
  <c r="M31" i="7" s="1"/>
  <c r="M38" i="7"/>
  <c r="N47" i="7"/>
  <c r="N44" i="7"/>
  <c r="N37" i="7" s="1"/>
  <c r="L28" i="7"/>
  <c r="L32" i="7"/>
  <c r="O21" i="2"/>
  <c r="AJ120" i="1"/>
  <c r="AI122" i="1"/>
  <c r="AW122" i="1" s="1"/>
  <c r="AW120" i="1"/>
  <c r="AI121" i="1"/>
  <c r="AW121" i="1" s="1"/>
  <c r="L23" i="7" l="1"/>
  <c r="L29" i="7"/>
  <c r="Q15" i="2"/>
  <c r="Q11" i="2"/>
  <c r="R13" i="2"/>
  <c r="S82" i="2"/>
  <c r="P21" i="2"/>
  <c r="N38" i="7"/>
  <c r="N35" i="7"/>
  <c r="N31" i="7" s="1"/>
  <c r="N46" i="2"/>
  <c r="S65" i="2"/>
  <c r="J94" i="2"/>
  <c r="J93" i="2"/>
  <c r="P46" i="7"/>
  <c r="P25" i="2"/>
  <c r="P16" i="2" s="1"/>
  <c r="P17" i="2" s="1"/>
  <c r="P81" i="2"/>
  <c r="P58" i="2" s="1"/>
  <c r="P64" i="2"/>
  <c r="M28" i="7"/>
  <c r="M32" i="7"/>
  <c r="O44" i="7"/>
  <c r="O37" i="7" s="1"/>
  <c r="O47" i="7"/>
  <c r="AK120" i="1"/>
  <c r="AJ122" i="1"/>
  <c r="AJ121" i="1"/>
  <c r="AL120" i="1" l="1"/>
  <c r="AK122" i="1"/>
  <c r="AK121" i="1"/>
  <c r="N28" i="7"/>
  <c r="N32" i="7"/>
  <c r="T65" i="2"/>
  <c r="M29" i="7"/>
  <c r="M23" i="7"/>
  <c r="Q46" i="7"/>
  <c r="Q25" i="2"/>
  <c r="Q16" i="2" s="1"/>
  <c r="Q17" i="2" s="1"/>
  <c r="Q81" i="2"/>
  <c r="Q58" i="2" s="1"/>
  <c r="Q64" i="2"/>
  <c r="P44" i="7"/>
  <c r="P37" i="7" s="1"/>
  <c r="P47" i="7"/>
  <c r="O46" i="2"/>
  <c r="O35" i="7"/>
  <c r="O31" i="7" s="1"/>
  <c r="O38" i="7"/>
  <c r="T82" i="2"/>
  <c r="R15" i="2"/>
  <c r="R11" i="2"/>
  <c r="S13" i="2"/>
  <c r="Q21" i="2"/>
  <c r="K72" i="2"/>
  <c r="J95" i="2"/>
  <c r="L24" i="7"/>
  <c r="L50" i="7"/>
  <c r="L19" i="7"/>
  <c r="L52" i="7"/>
  <c r="L53" i="7" s="1"/>
  <c r="K77" i="2" l="1"/>
  <c r="K86" i="2" s="1"/>
  <c r="Q44" i="7"/>
  <c r="Q37" i="7" s="1"/>
  <c r="Q47" i="7"/>
  <c r="AM120" i="1"/>
  <c r="AL122" i="1"/>
  <c r="AL121" i="1"/>
  <c r="S15" i="2"/>
  <c r="S11" i="2"/>
  <c r="T13" i="2"/>
  <c r="N29" i="7"/>
  <c r="N23" i="7"/>
  <c r="L8" i="2"/>
  <c r="L20" i="7"/>
  <c r="L21" i="7"/>
  <c r="J104" i="2"/>
  <c r="J96" i="2"/>
  <c r="J106" i="2"/>
  <c r="J107" i="2"/>
  <c r="J105" i="2"/>
  <c r="R21" i="2"/>
  <c r="R46" i="7"/>
  <c r="R25" i="2"/>
  <c r="R16" i="2" s="1"/>
  <c r="R17" i="2" s="1"/>
  <c r="R81" i="2"/>
  <c r="R58" i="2" s="1"/>
  <c r="R64" i="2"/>
  <c r="O28" i="7"/>
  <c r="O32" i="7"/>
  <c r="P46" i="2"/>
  <c r="P35" i="7"/>
  <c r="P31" i="7" s="1"/>
  <c r="P38" i="7"/>
  <c r="M24" i="7"/>
  <c r="M19" i="7"/>
  <c r="M50" i="7"/>
  <c r="M52" i="7"/>
  <c r="M53" i="7" s="1"/>
  <c r="U82" i="2"/>
  <c r="U65" i="2"/>
  <c r="K91" i="2" l="1"/>
  <c r="K98" i="2" s="1"/>
  <c r="K87" i="2"/>
  <c r="Q46" i="2"/>
  <c r="P28" i="7"/>
  <c r="P32" i="7"/>
  <c r="N24" i="7"/>
  <c r="N19" i="7"/>
  <c r="N50" i="7"/>
  <c r="N52" i="7"/>
  <c r="N53" i="7" s="1"/>
  <c r="O23" i="7"/>
  <c r="O29" i="7"/>
  <c r="T15" i="2"/>
  <c r="U13" i="2"/>
  <c r="T11" i="2"/>
  <c r="S25" i="2"/>
  <c r="S16" i="2" s="1"/>
  <c r="S17" i="2" s="1"/>
  <c r="S46" i="7"/>
  <c r="S81" i="2"/>
  <c r="S58" i="2" s="1"/>
  <c r="S64" i="2"/>
  <c r="AM122" i="1"/>
  <c r="AX122" i="1" s="1"/>
  <c r="AX120" i="1"/>
  <c r="AM121" i="1"/>
  <c r="AX121" i="1" s="1"/>
  <c r="L9" i="2"/>
  <c r="L18" i="2"/>
  <c r="L31" i="2"/>
  <c r="S21" i="2"/>
  <c r="Q35" i="7"/>
  <c r="Q31" i="7" s="1"/>
  <c r="Q38" i="7"/>
  <c r="R44" i="7"/>
  <c r="R37" i="7" s="1"/>
  <c r="R47" i="7"/>
  <c r="M8" i="2"/>
  <c r="M20" i="7"/>
  <c r="M21" i="7"/>
  <c r="O19" i="7" l="1"/>
  <c r="O24" i="7"/>
  <c r="O50" i="7"/>
  <c r="O52" i="7"/>
  <c r="O53" i="7" s="1"/>
  <c r="L33" i="2"/>
  <c r="L41" i="2"/>
  <c r="L36" i="2"/>
  <c r="M9" i="2"/>
  <c r="M18" i="2"/>
  <c r="M31" i="2"/>
  <c r="Q28" i="7"/>
  <c r="Q32" i="7"/>
  <c r="T25" i="2"/>
  <c r="T16" i="2" s="1"/>
  <c r="T17" i="2" s="1"/>
  <c r="T46" i="7"/>
  <c r="T81" i="2"/>
  <c r="T58" i="2" s="1"/>
  <c r="T64" i="2"/>
  <c r="P29" i="7"/>
  <c r="P23" i="7"/>
  <c r="S47" i="7"/>
  <c r="S44" i="7"/>
  <c r="S37" i="7" s="1"/>
  <c r="R46" i="2"/>
  <c r="K100" i="2"/>
  <c r="K116" i="2"/>
  <c r="T21" i="2"/>
  <c r="U11" i="2"/>
  <c r="U15" i="2"/>
  <c r="N8" i="2"/>
  <c r="N21" i="7"/>
  <c r="N20" i="7"/>
  <c r="R35" i="7"/>
  <c r="R31" i="7" s="1"/>
  <c r="R38" i="7"/>
  <c r="N9" i="2" l="1"/>
  <c r="N18" i="2"/>
  <c r="N31" i="2"/>
  <c r="Q29" i="7"/>
  <c r="Q23" i="7"/>
  <c r="O8" i="2"/>
  <c r="O20" i="7"/>
  <c r="O21" i="7"/>
  <c r="S46" i="2"/>
  <c r="T44" i="7"/>
  <c r="T37" i="7" s="1"/>
  <c r="T47" i="7"/>
  <c r="U21" i="2"/>
  <c r="M41" i="2"/>
  <c r="M33" i="2"/>
  <c r="M36" i="2"/>
  <c r="P19" i="7"/>
  <c r="P24" i="7"/>
  <c r="P50" i="7"/>
  <c r="P52" i="7"/>
  <c r="P53" i="7" s="1"/>
  <c r="U46" i="7"/>
  <c r="U25" i="2"/>
  <c r="U16" i="2" s="1"/>
  <c r="U17" i="2" s="1"/>
  <c r="U64" i="2"/>
  <c r="U81" i="2"/>
  <c r="U58" i="2" s="1"/>
  <c r="K109" i="2"/>
  <c r="AD124" i="2" s="1"/>
  <c r="K105" i="2"/>
  <c r="K106" i="2"/>
  <c r="K101" i="2"/>
  <c r="K104" i="2"/>
  <c r="K108" i="2"/>
  <c r="AD125" i="2" s="1"/>
  <c r="K107" i="2"/>
  <c r="S38" i="7"/>
  <c r="S35" i="7"/>
  <c r="S31" i="7" s="1"/>
  <c r="L43" i="2"/>
  <c r="L95" i="2"/>
  <c r="L93" i="2" s="1"/>
  <c r="L38" i="2"/>
  <c r="L48" i="2"/>
  <c r="L27" i="2"/>
  <c r="L50" i="2"/>
  <c r="L51" i="2" s="1"/>
  <c r="R32" i="7"/>
  <c r="R28" i="7"/>
  <c r="L52" i="2" l="1"/>
  <c r="L54" i="2"/>
  <c r="L53" i="2"/>
  <c r="L67" i="2"/>
  <c r="L57" i="2"/>
  <c r="L59" i="2" s="1"/>
  <c r="L77" i="2"/>
  <c r="L29" i="2"/>
  <c r="L28" i="2"/>
  <c r="S32" i="7"/>
  <c r="S28" i="7"/>
  <c r="M43" i="2"/>
  <c r="M38" i="2"/>
  <c r="M48" i="2"/>
  <c r="M95" i="2"/>
  <c r="M93" i="2" s="1"/>
  <c r="M50" i="2"/>
  <c r="M51" i="2" s="1"/>
  <c r="M27" i="2"/>
  <c r="L72" i="2"/>
  <c r="T38" i="7"/>
  <c r="T35" i="7"/>
  <c r="T31" i="7" s="1"/>
  <c r="O9" i="2"/>
  <c r="O18" i="2"/>
  <c r="O31" i="2"/>
  <c r="Q24" i="7"/>
  <c r="Q50" i="7"/>
  <c r="Q19" i="7"/>
  <c r="Q52" i="7"/>
  <c r="Q53" i="7" s="1"/>
  <c r="R29" i="7"/>
  <c r="R23" i="7"/>
  <c r="U47" i="7"/>
  <c r="U44" i="7"/>
  <c r="U37" i="7" s="1"/>
  <c r="P8" i="2"/>
  <c r="P21" i="7"/>
  <c r="P20" i="7"/>
  <c r="T46" i="2"/>
  <c r="N36" i="2"/>
  <c r="N41" i="2"/>
  <c r="N33" i="2"/>
  <c r="L60" i="2" l="1"/>
  <c r="L61" i="2" s="1"/>
  <c r="L62" i="2"/>
  <c r="M53" i="2"/>
  <c r="M54" i="2"/>
  <c r="M67" i="2"/>
  <c r="M57" i="2"/>
  <c r="M59" i="2" s="1"/>
  <c r="M52" i="2"/>
  <c r="R24" i="7"/>
  <c r="R19" i="7"/>
  <c r="R50" i="7"/>
  <c r="R52" i="7"/>
  <c r="R53" i="7" s="1"/>
  <c r="N72" i="2"/>
  <c r="Q20" i="7"/>
  <c r="Q8" i="2"/>
  <c r="Q21" i="7"/>
  <c r="U35" i="7"/>
  <c r="U31" i="7" s="1"/>
  <c r="U38" i="7"/>
  <c r="U46" i="2"/>
  <c r="N43" i="2"/>
  <c r="N38" i="2"/>
  <c r="N48" i="2"/>
  <c r="N95" i="2"/>
  <c r="N93" i="2" s="1"/>
  <c r="N50" i="2"/>
  <c r="N51" i="2" s="1"/>
  <c r="N27" i="2"/>
  <c r="O41" i="2"/>
  <c r="O33" i="2"/>
  <c r="O36" i="2"/>
  <c r="T28" i="7"/>
  <c r="T32" i="7"/>
  <c r="L69" i="2"/>
  <c r="L86" i="2"/>
  <c r="L68" i="2"/>
  <c r="L70" i="2"/>
  <c r="S23" i="7"/>
  <c r="S29" i="7"/>
  <c r="M72" i="2"/>
  <c r="M77" i="2" s="1"/>
  <c r="P9" i="2"/>
  <c r="P18" i="2"/>
  <c r="P31" i="2"/>
  <c r="M28" i="2"/>
  <c r="M29" i="2"/>
  <c r="M60" i="2" l="1"/>
  <c r="M61" i="2" s="1"/>
  <c r="M62" i="2"/>
  <c r="N52" i="2"/>
  <c r="N54" i="2"/>
  <c r="N77" i="2"/>
  <c r="N57" i="2"/>
  <c r="N59" i="2" s="1"/>
  <c r="N53" i="2"/>
  <c r="N67" i="2"/>
  <c r="U32" i="7"/>
  <c r="U28" i="7"/>
  <c r="T23" i="7"/>
  <c r="T29" i="7"/>
  <c r="O43" i="2"/>
  <c r="O48" i="2"/>
  <c r="O38" i="2"/>
  <c r="O95" i="2"/>
  <c r="O93" i="2" s="1"/>
  <c r="O27" i="2"/>
  <c r="O50" i="2"/>
  <c r="O51" i="2" s="1"/>
  <c r="N29" i="2"/>
  <c r="N28" i="2"/>
  <c r="P33" i="2"/>
  <c r="P36" i="2"/>
  <c r="P41" i="2"/>
  <c r="L87" i="2"/>
  <c r="L91" i="2"/>
  <c r="L98" i="2" s="1"/>
  <c r="Q9" i="2"/>
  <c r="Q18" i="2"/>
  <c r="Q31" i="2"/>
  <c r="R21" i="7"/>
  <c r="R20" i="7"/>
  <c r="R8" i="2"/>
  <c r="M69" i="2"/>
  <c r="M86" i="2"/>
  <c r="M68" i="2"/>
  <c r="M70" i="2"/>
  <c r="S50" i="7"/>
  <c r="S19" i="7"/>
  <c r="S24" i="7"/>
  <c r="S52" i="7"/>
  <c r="S53" i="7" s="1"/>
  <c r="N60" i="2" l="1"/>
  <c r="N61" i="2" s="1"/>
  <c r="N62" i="2"/>
  <c r="O54" i="2"/>
  <c r="O67" i="2"/>
  <c r="O53" i="2"/>
  <c r="O57" i="2"/>
  <c r="O59" i="2" s="1"/>
  <c r="O52" i="2"/>
  <c r="P72" i="2"/>
  <c r="L116" i="2"/>
  <c r="L100" i="2"/>
  <c r="M91" i="2"/>
  <c r="M98" i="2" s="1"/>
  <c r="M116" i="2" s="1"/>
  <c r="M87" i="2"/>
  <c r="O28" i="2"/>
  <c r="O29" i="2"/>
  <c r="R9" i="2"/>
  <c r="R18" i="2"/>
  <c r="R31" i="2"/>
  <c r="Q41" i="2"/>
  <c r="Q36" i="2"/>
  <c r="Q33" i="2"/>
  <c r="O72" i="2"/>
  <c r="O77" i="2" s="1"/>
  <c r="T50" i="7"/>
  <c r="T19" i="7"/>
  <c r="T24" i="7"/>
  <c r="T52" i="7"/>
  <c r="T53" i="7" s="1"/>
  <c r="U23" i="7"/>
  <c r="U29" i="7"/>
  <c r="N86" i="2"/>
  <c r="N69" i="2"/>
  <c r="N68" i="2"/>
  <c r="N70" i="2"/>
  <c r="S21" i="7"/>
  <c r="S8" i="2"/>
  <c r="S20" i="7"/>
  <c r="P38" i="2"/>
  <c r="P48" i="2"/>
  <c r="P43" i="2"/>
  <c r="P95" i="2"/>
  <c r="P93" i="2" s="1"/>
  <c r="P50" i="2"/>
  <c r="P51" i="2" s="1"/>
  <c r="P27" i="2"/>
  <c r="O60" i="2" l="1"/>
  <c r="O61" i="2" s="1"/>
  <c r="O62" i="2"/>
  <c r="P77" i="2"/>
  <c r="P57" i="2"/>
  <c r="P59" i="2" s="1"/>
  <c r="P52" i="2"/>
  <c r="P54" i="2"/>
  <c r="P53" i="2"/>
  <c r="P67" i="2"/>
  <c r="N87" i="2"/>
  <c r="N91" i="2"/>
  <c r="N98" i="2" s="1"/>
  <c r="N116" i="2" s="1"/>
  <c r="O70" i="2"/>
  <c r="O86" i="2"/>
  <c r="O69" i="2"/>
  <c r="O68" i="2"/>
  <c r="T20" i="7"/>
  <c r="T21" i="7"/>
  <c r="T8" i="2"/>
  <c r="Q43" i="2"/>
  <c r="Q48" i="2"/>
  <c r="Q38" i="2"/>
  <c r="Q95" i="2"/>
  <c r="Q93" i="2" s="1"/>
  <c r="Q27" i="2"/>
  <c r="Q50" i="2"/>
  <c r="Q51" i="2" s="1"/>
  <c r="S9" i="2"/>
  <c r="S18" i="2"/>
  <c r="S31" i="2"/>
  <c r="R33" i="2"/>
  <c r="R36" i="2"/>
  <c r="R41" i="2"/>
  <c r="U19" i="7"/>
  <c r="U24" i="7"/>
  <c r="U50" i="7"/>
  <c r="U52" i="7"/>
  <c r="U53" i="7" s="1"/>
  <c r="L107" i="2"/>
  <c r="L106" i="2"/>
  <c r="L101" i="2"/>
  <c r="L105" i="2"/>
  <c r="M100" i="2"/>
  <c r="L108" i="2"/>
  <c r="L109" i="2"/>
  <c r="AE124" i="2" s="1"/>
  <c r="L104" i="2"/>
  <c r="P28" i="2"/>
  <c r="P29" i="2"/>
  <c r="Q72" i="2"/>
  <c r="P60" i="2" l="1"/>
  <c r="P61" i="2" s="1"/>
  <c r="P62" i="2"/>
  <c r="Q67" i="2"/>
  <c r="Q54" i="2"/>
  <c r="Q52" i="2"/>
  <c r="Q77" i="2"/>
  <c r="Q53" i="2"/>
  <c r="Q57" i="2"/>
  <c r="Q59" i="2" s="1"/>
  <c r="U20" i="7"/>
  <c r="U21" i="7"/>
  <c r="U8" i="2"/>
  <c r="R43" i="2"/>
  <c r="R48" i="2"/>
  <c r="R38" i="2"/>
  <c r="R95" i="2"/>
  <c r="R93" i="2" s="1"/>
  <c r="R50" i="2"/>
  <c r="R51" i="2" s="1"/>
  <c r="R27" i="2"/>
  <c r="M108" i="2"/>
  <c r="M106" i="2"/>
  <c r="M107" i="2"/>
  <c r="M101" i="2"/>
  <c r="N100" i="2"/>
  <c r="M104" i="2"/>
  <c r="M109" i="2"/>
  <c r="AF124" i="2" s="1"/>
  <c r="M105" i="2"/>
  <c r="O91" i="2"/>
  <c r="O98" i="2" s="1"/>
  <c r="O116" i="2" s="1"/>
  <c r="O87" i="2"/>
  <c r="S33" i="2"/>
  <c r="S41" i="2"/>
  <c r="S36" i="2"/>
  <c r="P69" i="2"/>
  <c r="P70" i="2"/>
  <c r="P86" i="2"/>
  <c r="P68" i="2"/>
  <c r="Q29" i="2"/>
  <c r="Q28" i="2"/>
  <c r="T9" i="2"/>
  <c r="T18" i="2"/>
  <c r="T31" i="2"/>
  <c r="Q60" i="2" l="1"/>
  <c r="Q61" i="2" s="1"/>
  <c r="Q62" i="2"/>
  <c r="R57" i="2"/>
  <c r="R59" i="2" s="1"/>
  <c r="R67" i="2"/>
  <c r="R53" i="2"/>
  <c r="R52" i="2"/>
  <c r="R54" i="2"/>
  <c r="P91" i="2"/>
  <c r="P98" i="2" s="1"/>
  <c r="P116" i="2" s="1"/>
  <c r="P87" i="2"/>
  <c r="S48" i="2"/>
  <c r="S43" i="2"/>
  <c r="S38" i="2"/>
  <c r="S95" i="2"/>
  <c r="S93" i="2" s="1"/>
  <c r="S50" i="2"/>
  <c r="S51" i="2" s="1"/>
  <c r="S27" i="2"/>
  <c r="R72" i="2"/>
  <c r="R77" i="2" s="1"/>
  <c r="T41" i="2"/>
  <c r="T33" i="2"/>
  <c r="T36" i="2"/>
  <c r="Q68" i="2"/>
  <c r="Q69" i="2"/>
  <c r="Q86" i="2"/>
  <c r="Q70" i="2"/>
  <c r="R28" i="2"/>
  <c r="R29" i="2"/>
  <c r="U9" i="2"/>
  <c r="U18" i="2"/>
  <c r="U31" i="2"/>
  <c r="N107" i="2"/>
  <c r="N101" i="2"/>
  <c r="N104" i="2"/>
  <c r="O100" i="2"/>
  <c r="N109" i="2"/>
  <c r="N108" i="2"/>
  <c r="N106" i="2"/>
  <c r="N105" i="2"/>
  <c r="R60" i="2" l="1"/>
  <c r="R61" i="2" s="1"/>
  <c r="R62" i="2"/>
  <c r="S54" i="2"/>
  <c r="S57" i="2"/>
  <c r="S59" i="2" s="1"/>
  <c r="S52" i="2"/>
  <c r="S53" i="2"/>
  <c r="S67" i="2"/>
  <c r="T38" i="2"/>
  <c r="T48" i="2"/>
  <c r="T43" i="2"/>
  <c r="T95" i="2"/>
  <c r="T93" i="2" s="1"/>
  <c r="T50" i="2"/>
  <c r="T51" i="2" s="1"/>
  <c r="T27" i="2"/>
  <c r="S29" i="2"/>
  <c r="S28" i="2"/>
  <c r="S72" i="2"/>
  <c r="S77" i="2" s="1"/>
  <c r="Q87" i="2"/>
  <c r="Q91" i="2"/>
  <c r="Q98" i="2" s="1"/>
  <c r="Q116" i="2" s="1"/>
  <c r="O109" i="2"/>
  <c r="O108" i="2"/>
  <c r="O106" i="2"/>
  <c r="O101" i="2"/>
  <c r="O105" i="2"/>
  <c r="P100" i="2"/>
  <c r="O107" i="2"/>
  <c r="O104" i="2"/>
  <c r="R68" i="2"/>
  <c r="R70" i="2"/>
  <c r="R69" i="2"/>
  <c r="R86" i="2"/>
  <c r="U33" i="2"/>
  <c r="U36" i="2"/>
  <c r="U41" i="2"/>
  <c r="S60" i="2" l="1"/>
  <c r="S61" i="2" s="1"/>
  <c r="S62" i="2"/>
  <c r="T53" i="2"/>
  <c r="T54" i="2"/>
  <c r="T67" i="2"/>
  <c r="T52" i="2"/>
  <c r="T57" i="2"/>
  <c r="T59" i="2" s="1"/>
  <c r="T28" i="2"/>
  <c r="T29" i="2"/>
  <c r="R91" i="2"/>
  <c r="R98" i="2" s="1"/>
  <c r="R116" i="2" s="1"/>
  <c r="R87" i="2"/>
  <c r="U72" i="2"/>
  <c r="P108" i="2"/>
  <c r="P101" i="2"/>
  <c r="Q100" i="2"/>
  <c r="P106" i="2"/>
  <c r="P109" i="2"/>
  <c r="P105" i="2"/>
  <c r="P107" i="2"/>
  <c r="P104" i="2"/>
  <c r="U43" i="2"/>
  <c r="U38" i="2"/>
  <c r="U48" i="2"/>
  <c r="U95" i="2"/>
  <c r="U93" i="2" s="1"/>
  <c r="U27" i="2"/>
  <c r="U50" i="2"/>
  <c r="U51" i="2" s="1"/>
  <c r="T72" i="2"/>
  <c r="T77" i="2" s="1"/>
  <c r="S69" i="2"/>
  <c r="S70" i="2"/>
  <c r="S86" i="2"/>
  <c r="S68" i="2"/>
  <c r="T60" i="2" l="1"/>
  <c r="T61" i="2" s="1"/>
  <c r="T62" i="2"/>
  <c r="U52" i="2"/>
  <c r="U53" i="2"/>
  <c r="U57" i="2"/>
  <c r="U59" i="2" s="1"/>
  <c r="U67" i="2"/>
  <c r="U77" i="2"/>
  <c r="U54" i="2"/>
  <c r="S91" i="2"/>
  <c r="S98" i="2" s="1"/>
  <c r="S116" i="2" s="1"/>
  <c r="S87" i="2"/>
  <c r="Q109" i="2"/>
  <c r="Q104" i="2"/>
  <c r="Q106" i="2"/>
  <c r="Q107" i="2"/>
  <c r="Q101" i="2"/>
  <c r="R100" i="2"/>
  <c r="Q105" i="2"/>
  <c r="Q108" i="2"/>
  <c r="U28" i="2"/>
  <c r="U29" i="2"/>
  <c r="T68" i="2"/>
  <c r="T69" i="2"/>
  <c r="T86" i="2"/>
  <c r="T70" i="2"/>
  <c r="U60" i="2" l="1"/>
  <c r="U61" i="2" s="1"/>
  <c r="U62" i="2"/>
  <c r="S100" i="2"/>
  <c r="R109" i="2"/>
  <c r="R106" i="2"/>
  <c r="R101" i="2"/>
  <c r="R104" i="2"/>
  <c r="R108" i="2"/>
  <c r="R107" i="2"/>
  <c r="R105" i="2"/>
  <c r="U68" i="2"/>
  <c r="U70" i="2"/>
  <c r="U69" i="2"/>
  <c r="U86" i="2"/>
  <c r="T87" i="2"/>
  <c r="T91" i="2"/>
  <c r="T98" i="2" s="1"/>
  <c r="U87" i="2" l="1"/>
  <c r="T114" i="2"/>
  <c r="T116" i="2" s="1"/>
  <c r="U91" i="2"/>
  <c r="U98" i="2" s="1"/>
  <c r="T100" i="2"/>
  <c r="S105" i="2"/>
  <c r="S108" i="2"/>
  <c r="S104" i="2"/>
  <c r="S107" i="2"/>
  <c r="S101" i="2"/>
  <c r="S109" i="2"/>
  <c r="S106" i="2"/>
  <c r="U100" i="2" l="1"/>
  <c r="T109" i="2"/>
  <c r="T108" i="2"/>
  <c r="T107" i="2"/>
  <c r="T101" i="2"/>
  <c r="T104" i="2"/>
  <c r="T105" i="2"/>
  <c r="T106" i="2"/>
  <c r="F118" i="2"/>
  <c r="Z118" i="2" s="1"/>
  <c r="U116" i="2"/>
  <c r="U117" i="2" s="1"/>
  <c r="U101" i="2" l="1"/>
  <c r="U105" i="2"/>
  <c r="U108" i="2"/>
  <c r="U109" i="2"/>
  <c r="U106" i="2"/>
  <c r="U107" i="2"/>
  <c r="U10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 Nicolau</author>
  </authors>
  <commentList>
    <comment ref="T223" authorId="0" shapeId="0" xr:uid="{092919A5-7A7B-40A1-8816-A2CB3946DBCA}">
      <text>
        <r>
          <rPr>
            <b/>
            <sz val="9"/>
            <color indexed="81"/>
            <rFont val="Tahoma"/>
            <family val="2"/>
          </rPr>
          <t>Alex Nicolau:</t>
        </r>
        <r>
          <rPr>
            <sz val="9"/>
            <color indexed="81"/>
            <rFont val="Tahoma"/>
            <family val="2"/>
          </rPr>
          <t xml:space="preserve">
BDA estimate</t>
        </r>
      </text>
    </comment>
    <comment ref="U223" authorId="0" shapeId="0" xr:uid="{34DF8733-4A7A-4ADB-BB0C-A08458147094}">
      <text>
        <r>
          <rPr>
            <b/>
            <sz val="9"/>
            <color indexed="81"/>
            <rFont val="Tahoma"/>
            <family val="2"/>
          </rPr>
          <t>Alex Nicolau:</t>
        </r>
        <r>
          <rPr>
            <sz val="9"/>
            <color indexed="81"/>
            <rFont val="Tahoma"/>
            <family val="2"/>
          </rPr>
          <t xml:space="preserve">
BDA estimate</t>
        </r>
      </text>
    </comment>
    <comment ref="V223" authorId="0" shapeId="0" xr:uid="{0FD58A97-2C99-46FB-B7CD-16271D866F3C}">
      <text>
        <r>
          <rPr>
            <b/>
            <sz val="9"/>
            <color indexed="81"/>
            <rFont val="Tahoma"/>
            <family val="2"/>
          </rPr>
          <t>Alex Nicolau:</t>
        </r>
        <r>
          <rPr>
            <sz val="9"/>
            <color indexed="81"/>
            <rFont val="Tahoma"/>
            <family val="2"/>
          </rPr>
          <t xml:space="preserve">
BDA estimate</t>
        </r>
      </text>
    </comment>
    <comment ref="W223" authorId="0" shapeId="0" xr:uid="{B5EFF186-3388-45A0-973D-B94341E423D1}">
      <text>
        <r>
          <rPr>
            <b/>
            <sz val="9"/>
            <color indexed="81"/>
            <rFont val="Tahoma"/>
            <family val="2"/>
          </rPr>
          <t>Alex Nicolau:</t>
        </r>
        <r>
          <rPr>
            <sz val="9"/>
            <color indexed="81"/>
            <rFont val="Tahoma"/>
            <family val="2"/>
          </rPr>
          <t xml:space="preserve">
BDA estimate</t>
        </r>
      </text>
    </comment>
    <comment ref="X223" authorId="0" shapeId="0" xr:uid="{CAAD21D5-D6F4-440E-9176-06CE79C08708}">
      <text>
        <r>
          <rPr>
            <b/>
            <sz val="9"/>
            <color indexed="81"/>
            <rFont val="Tahoma"/>
            <family val="2"/>
          </rPr>
          <t>Alex Nicolau:</t>
        </r>
        <r>
          <rPr>
            <sz val="9"/>
            <color indexed="81"/>
            <rFont val="Tahoma"/>
            <family val="2"/>
          </rPr>
          <t xml:space="preserve">
BDA estimate</t>
        </r>
      </text>
    </comment>
    <comment ref="Y223" authorId="0" shapeId="0" xr:uid="{0E7ADBDE-9CA1-4F10-AA86-B37D018DE1F4}">
      <text>
        <r>
          <rPr>
            <b/>
            <sz val="9"/>
            <color indexed="81"/>
            <rFont val="Tahoma"/>
            <family val="2"/>
          </rPr>
          <t>Alex Nicolau:</t>
        </r>
        <r>
          <rPr>
            <sz val="9"/>
            <color indexed="81"/>
            <rFont val="Tahoma"/>
            <family val="2"/>
          </rPr>
          <t xml:space="preserve">
BDA estimate</t>
        </r>
      </text>
    </comment>
    <comment ref="Z223" authorId="0" shapeId="0" xr:uid="{DDF74D26-2CEA-4D34-B0A3-6EB29EC95118}">
      <text>
        <r>
          <rPr>
            <b/>
            <sz val="9"/>
            <color indexed="81"/>
            <rFont val="Tahoma"/>
            <family val="2"/>
          </rPr>
          <t>Alex Nicolau:</t>
        </r>
        <r>
          <rPr>
            <sz val="9"/>
            <color indexed="81"/>
            <rFont val="Tahoma"/>
            <family val="2"/>
          </rPr>
          <t xml:space="preserve">
BDA estimate</t>
        </r>
      </text>
    </comment>
    <comment ref="AA223" authorId="0" shapeId="0" xr:uid="{26F1BEE6-E8F7-4083-B492-7BEA2B6365C0}">
      <text>
        <r>
          <rPr>
            <b/>
            <sz val="9"/>
            <color indexed="81"/>
            <rFont val="Tahoma"/>
            <family val="2"/>
          </rPr>
          <t>Alex Nicolau:</t>
        </r>
        <r>
          <rPr>
            <sz val="9"/>
            <color indexed="81"/>
            <rFont val="Tahoma"/>
            <family val="2"/>
          </rPr>
          <t xml:space="preserve">
BDA estimate</t>
        </r>
      </text>
    </comment>
    <comment ref="AB223" authorId="0" shapeId="0" xr:uid="{778912B2-B9F1-4A50-8041-E1130643639D}">
      <text>
        <r>
          <rPr>
            <b/>
            <sz val="9"/>
            <color indexed="81"/>
            <rFont val="Tahoma"/>
            <family val="2"/>
          </rPr>
          <t>Alex Nicolau:</t>
        </r>
        <r>
          <rPr>
            <sz val="9"/>
            <color indexed="81"/>
            <rFont val="Tahoma"/>
            <family val="2"/>
          </rPr>
          <t xml:space="preserve">
BDA estimate</t>
        </r>
      </text>
    </comment>
    <comment ref="AC223" authorId="0" shapeId="0" xr:uid="{8ACD7AE7-2C84-4F18-B017-338B71A373CC}">
      <text>
        <r>
          <rPr>
            <b/>
            <sz val="9"/>
            <color indexed="81"/>
            <rFont val="Tahoma"/>
            <family val="2"/>
          </rPr>
          <t>Alex Nicolau:</t>
        </r>
        <r>
          <rPr>
            <sz val="9"/>
            <color indexed="81"/>
            <rFont val="Tahoma"/>
            <family val="2"/>
          </rPr>
          <t xml:space="preserve">
BDA estimate</t>
        </r>
      </text>
    </comment>
    <comment ref="AD223" authorId="0" shapeId="0" xr:uid="{8E8B5E36-51E3-4CCE-85D9-30975B194014}">
      <text>
        <r>
          <rPr>
            <b/>
            <sz val="9"/>
            <color indexed="81"/>
            <rFont val="Tahoma"/>
            <family val="2"/>
          </rPr>
          <t>Alex Nicolau:</t>
        </r>
        <r>
          <rPr>
            <sz val="9"/>
            <color indexed="81"/>
            <rFont val="Tahoma"/>
            <family val="2"/>
          </rPr>
          <t xml:space="preserve">
BDA estimate</t>
        </r>
      </text>
    </comment>
    <comment ref="AE223" authorId="0" shapeId="0" xr:uid="{D6060835-9862-40E4-85B8-4FE53314FBD8}">
      <text>
        <r>
          <rPr>
            <b/>
            <sz val="9"/>
            <color indexed="81"/>
            <rFont val="Tahoma"/>
            <family val="2"/>
          </rPr>
          <t>Alex Nicolau:</t>
        </r>
        <r>
          <rPr>
            <sz val="9"/>
            <color indexed="81"/>
            <rFont val="Tahoma"/>
            <family val="2"/>
          </rPr>
          <t xml:space="preserve">
BDA estimate</t>
        </r>
      </text>
    </comment>
    <comment ref="Z228" authorId="0" shapeId="0" xr:uid="{79C0E7EB-C7B2-42CA-AE49-B56EA696E2FB}">
      <text>
        <r>
          <rPr>
            <b/>
            <sz val="9"/>
            <color indexed="81"/>
            <rFont val="Tahoma"/>
            <family val="2"/>
          </rPr>
          <t>Alex Nicolau:</t>
        </r>
        <r>
          <rPr>
            <sz val="9"/>
            <color indexed="81"/>
            <rFont val="Tahoma"/>
            <family val="2"/>
          </rPr>
          <t xml:space="preserve">
BDA estimate</t>
        </r>
      </text>
    </comment>
    <comment ref="AA228" authorId="0" shapeId="0" xr:uid="{10F83E53-AF21-40B2-80E9-692818977395}">
      <text>
        <r>
          <rPr>
            <b/>
            <sz val="9"/>
            <color indexed="81"/>
            <rFont val="Tahoma"/>
            <family val="2"/>
          </rPr>
          <t>Alex Nicolau:</t>
        </r>
        <r>
          <rPr>
            <sz val="9"/>
            <color indexed="81"/>
            <rFont val="Tahoma"/>
            <family val="2"/>
          </rPr>
          <t xml:space="preserve">
BDA estimate</t>
        </r>
      </text>
    </comment>
    <comment ref="AB228" authorId="0" shapeId="0" xr:uid="{07129D7C-DD2E-436C-AF4E-9E378B9AAF4D}">
      <text>
        <r>
          <rPr>
            <b/>
            <sz val="9"/>
            <color indexed="81"/>
            <rFont val="Tahoma"/>
            <family val="2"/>
          </rPr>
          <t>Alex Nicolau:</t>
        </r>
        <r>
          <rPr>
            <sz val="9"/>
            <color indexed="81"/>
            <rFont val="Tahoma"/>
            <family val="2"/>
          </rPr>
          <t xml:space="preserve">
BDA estimate</t>
        </r>
      </text>
    </comment>
    <comment ref="AC228" authorId="0" shapeId="0" xr:uid="{22BBB98F-BC45-400F-ACB3-B9FE8C18B069}">
      <text>
        <r>
          <rPr>
            <b/>
            <sz val="9"/>
            <color indexed="81"/>
            <rFont val="Tahoma"/>
            <family val="2"/>
          </rPr>
          <t>Alex Nicolau:</t>
        </r>
        <r>
          <rPr>
            <sz val="9"/>
            <color indexed="81"/>
            <rFont val="Tahoma"/>
            <family val="2"/>
          </rPr>
          <t xml:space="preserve">
BDA estimate</t>
        </r>
      </text>
    </comment>
    <comment ref="AD228" authorId="0" shapeId="0" xr:uid="{6FC4FC29-232A-467F-83CE-0FB38C0E8993}">
      <text>
        <r>
          <rPr>
            <b/>
            <sz val="9"/>
            <color indexed="81"/>
            <rFont val="Tahoma"/>
            <family val="2"/>
          </rPr>
          <t>Alex Nicolau:</t>
        </r>
        <r>
          <rPr>
            <sz val="9"/>
            <color indexed="81"/>
            <rFont val="Tahoma"/>
            <family val="2"/>
          </rPr>
          <t xml:space="preserve">
BDA estimate</t>
        </r>
      </text>
    </comment>
    <comment ref="AE228" authorId="0" shapeId="0" xr:uid="{43E461DF-6E62-4CDD-8884-905FF6478F88}">
      <text>
        <r>
          <rPr>
            <b/>
            <sz val="9"/>
            <color indexed="81"/>
            <rFont val="Tahoma"/>
            <family val="2"/>
          </rPr>
          <t>Alex Nicolau:</t>
        </r>
        <r>
          <rPr>
            <sz val="9"/>
            <color indexed="81"/>
            <rFont val="Tahoma"/>
            <family val="2"/>
          </rPr>
          <t xml:space="preserve">
BDA estimate</t>
        </r>
      </text>
    </comment>
    <comment ref="AF228" authorId="0" shapeId="0" xr:uid="{9A18CED1-CB3F-42BC-A3EA-26B93D6C2574}">
      <text>
        <r>
          <rPr>
            <b/>
            <sz val="9"/>
            <color indexed="81"/>
            <rFont val="Tahoma"/>
            <family val="2"/>
          </rPr>
          <t>Alex Nicolau:</t>
        </r>
        <r>
          <rPr>
            <sz val="9"/>
            <color indexed="81"/>
            <rFont val="Tahoma"/>
            <family val="2"/>
          </rPr>
          <t xml:space="preserve">
BDA estimate</t>
        </r>
      </text>
    </comment>
    <comment ref="AG228" authorId="0" shapeId="0" xr:uid="{BD2E41BC-FCDC-4867-A048-07E164E94E26}">
      <text>
        <r>
          <rPr>
            <b/>
            <sz val="9"/>
            <color indexed="81"/>
            <rFont val="Tahoma"/>
            <family val="2"/>
          </rPr>
          <t>Alex Nicolau:</t>
        </r>
        <r>
          <rPr>
            <sz val="9"/>
            <color indexed="81"/>
            <rFont val="Tahoma"/>
            <family val="2"/>
          </rPr>
          <t xml:space="preserve">
BDA estimate</t>
        </r>
      </text>
    </comment>
    <comment ref="L245" authorId="0" shapeId="0" xr:uid="{EE048C5D-85FC-4AD3-BEC2-0210564BC54A}">
      <text>
        <r>
          <rPr>
            <b/>
            <sz val="9"/>
            <color indexed="81"/>
            <rFont val="Tahoma"/>
            <family val="2"/>
          </rPr>
          <t>Alex Nicolau:</t>
        </r>
        <r>
          <rPr>
            <sz val="9"/>
            <color indexed="81"/>
            <rFont val="Tahoma"/>
            <family val="2"/>
          </rPr>
          <t xml:space="preserve">
BDA estimate</t>
        </r>
      </text>
    </comment>
    <comment ref="M245" authorId="0" shapeId="0" xr:uid="{EB441CCC-9369-4025-AE51-B9D9A781312D}">
      <text>
        <r>
          <rPr>
            <b/>
            <sz val="9"/>
            <color indexed="81"/>
            <rFont val="Tahoma"/>
            <family val="2"/>
          </rPr>
          <t>Alex Nicolau:</t>
        </r>
        <r>
          <rPr>
            <sz val="9"/>
            <color indexed="81"/>
            <rFont val="Tahoma"/>
            <family val="2"/>
          </rPr>
          <t xml:space="preserve">
BDA estimate</t>
        </r>
      </text>
    </comment>
    <comment ref="N245" authorId="0" shapeId="0" xr:uid="{A55FCE45-188D-4A37-834E-78D4CF48E3C9}">
      <text>
        <r>
          <rPr>
            <b/>
            <sz val="9"/>
            <color indexed="81"/>
            <rFont val="Tahoma"/>
            <family val="2"/>
          </rPr>
          <t>Alex Nicolau:</t>
        </r>
        <r>
          <rPr>
            <sz val="9"/>
            <color indexed="81"/>
            <rFont val="Tahoma"/>
            <family val="2"/>
          </rPr>
          <t xml:space="preserve">
BDA estimate</t>
        </r>
      </text>
    </comment>
    <comment ref="O245" authorId="0" shapeId="0" xr:uid="{12E42AA2-5634-4837-AF36-ED9C632EDC83}">
      <text>
        <r>
          <rPr>
            <b/>
            <sz val="9"/>
            <color indexed="81"/>
            <rFont val="Tahoma"/>
            <family val="2"/>
          </rPr>
          <t>Alex Nicolau:</t>
        </r>
        <r>
          <rPr>
            <sz val="9"/>
            <color indexed="81"/>
            <rFont val="Tahoma"/>
            <family val="2"/>
          </rPr>
          <t xml:space="preserve">
BDA estimate</t>
        </r>
      </text>
    </comment>
    <comment ref="P245" authorId="0" shapeId="0" xr:uid="{10D79017-CC7A-4F6F-A914-14563C35FB87}">
      <text>
        <r>
          <rPr>
            <b/>
            <sz val="9"/>
            <color indexed="81"/>
            <rFont val="Tahoma"/>
            <family val="2"/>
          </rPr>
          <t>Alex Nicolau:</t>
        </r>
        <r>
          <rPr>
            <sz val="9"/>
            <color indexed="81"/>
            <rFont val="Tahoma"/>
            <family val="2"/>
          </rPr>
          <t xml:space="preserve">
BDA estimate</t>
        </r>
      </text>
    </comment>
    <comment ref="Q245" authorId="0" shapeId="0" xr:uid="{CCD02269-7D52-46DE-9973-4A8A5BF7860E}">
      <text>
        <r>
          <rPr>
            <b/>
            <sz val="9"/>
            <color indexed="81"/>
            <rFont val="Tahoma"/>
            <family val="2"/>
          </rPr>
          <t>Alex Nicolau:</t>
        </r>
        <r>
          <rPr>
            <sz val="9"/>
            <color indexed="81"/>
            <rFont val="Tahoma"/>
            <family val="2"/>
          </rPr>
          <t xml:space="preserve">
BDA estimate</t>
        </r>
      </text>
    </comment>
    <comment ref="R245" authorId="0" shapeId="0" xr:uid="{065D8CEF-6548-4FF1-8FB5-C7019845E0AC}">
      <text>
        <r>
          <rPr>
            <b/>
            <sz val="9"/>
            <color indexed="81"/>
            <rFont val="Tahoma"/>
            <family val="2"/>
          </rPr>
          <t>Alex Nicolau:</t>
        </r>
        <r>
          <rPr>
            <sz val="9"/>
            <color indexed="81"/>
            <rFont val="Tahoma"/>
            <family val="2"/>
          </rPr>
          <t xml:space="preserve">
BDA estimate</t>
        </r>
      </text>
    </comment>
    <comment ref="S245" authorId="0" shapeId="0" xr:uid="{3A65D027-869C-4185-8A7B-82EF877B48D0}">
      <text>
        <r>
          <rPr>
            <b/>
            <sz val="9"/>
            <color indexed="81"/>
            <rFont val="Tahoma"/>
            <family val="2"/>
          </rPr>
          <t>Alex Nicolau:</t>
        </r>
        <r>
          <rPr>
            <sz val="9"/>
            <color indexed="81"/>
            <rFont val="Tahoma"/>
            <family val="2"/>
          </rPr>
          <t xml:space="preserve">
BDA estimate</t>
        </r>
      </text>
    </comment>
    <comment ref="T245" authorId="0" shapeId="0" xr:uid="{50FAA8CA-57CB-4B1C-8F37-599F53FEB0B3}">
      <text>
        <r>
          <rPr>
            <b/>
            <sz val="9"/>
            <color indexed="81"/>
            <rFont val="Tahoma"/>
            <family val="2"/>
          </rPr>
          <t>Alex Nicolau:</t>
        </r>
        <r>
          <rPr>
            <sz val="9"/>
            <color indexed="81"/>
            <rFont val="Tahoma"/>
            <family val="2"/>
          </rPr>
          <t xml:space="preserve">
BDA estimate</t>
        </r>
      </text>
    </comment>
    <comment ref="U245" authorId="0" shapeId="0" xr:uid="{91965109-53EA-43A1-8958-F9210194CA28}">
      <text>
        <r>
          <rPr>
            <b/>
            <sz val="9"/>
            <color indexed="81"/>
            <rFont val="Tahoma"/>
            <family val="2"/>
          </rPr>
          <t>Alex Nicolau:</t>
        </r>
        <r>
          <rPr>
            <sz val="9"/>
            <color indexed="81"/>
            <rFont val="Tahoma"/>
            <family val="2"/>
          </rPr>
          <t xml:space="preserve">
BDA estimate</t>
        </r>
      </text>
    </comment>
    <comment ref="V245" authorId="0" shapeId="0" xr:uid="{0A17B1A4-51DD-47E3-BAEB-F93781FFEF0E}">
      <text>
        <r>
          <rPr>
            <b/>
            <sz val="9"/>
            <color indexed="81"/>
            <rFont val="Tahoma"/>
            <family val="2"/>
          </rPr>
          <t>Alex Nicolau:</t>
        </r>
        <r>
          <rPr>
            <sz val="9"/>
            <color indexed="81"/>
            <rFont val="Tahoma"/>
            <family val="2"/>
          </rPr>
          <t xml:space="preserve">
BDA estimate, adjusted to match reported FY21 GMV </t>
        </r>
      </text>
    </comment>
    <comment ref="W245" authorId="0" shapeId="0" xr:uid="{E3281A0F-1C2A-483B-935C-09F790782515}">
      <text>
        <r>
          <rPr>
            <b/>
            <sz val="9"/>
            <color indexed="81"/>
            <rFont val="Tahoma"/>
            <family val="2"/>
          </rPr>
          <t>Alex Nicolau:</t>
        </r>
        <r>
          <rPr>
            <sz val="9"/>
            <color indexed="81"/>
            <rFont val="Tahoma"/>
            <family val="2"/>
          </rPr>
          <t xml:space="preserve">
BDA estimate, adjusted to match reported FY21 GMV </t>
        </r>
      </text>
    </comment>
    <comment ref="X245" authorId="0" shapeId="0" xr:uid="{4256A575-F36F-4F5E-816A-3671E00211A5}">
      <text>
        <r>
          <rPr>
            <b/>
            <sz val="9"/>
            <color indexed="81"/>
            <rFont val="Tahoma"/>
            <family val="2"/>
          </rPr>
          <t>Alex Nicolau:</t>
        </r>
        <r>
          <rPr>
            <sz val="9"/>
            <color indexed="81"/>
            <rFont val="Tahoma"/>
            <family val="2"/>
          </rPr>
          <t xml:space="preserve">
BDA estimate</t>
        </r>
      </text>
    </comment>
    <comment ref="Y245" authorId="0" shapeId="0" xr:uid="{E7CC7641-1712-4AD3-8802-3D174EE52ABC}">
      <text>
        <r>
          <rPr>
            <b/>
            <sz val="9"/>
            <color indexed="81"/>
            <rFont val="Tahoma"/>
            <family val="2"/>
          </rPr>
          <t>Alex Nicolau:</t>
        </r>
        <r>
          <rPr>
            <sz val="9"/>
            <color indexed="81"/>
            <rFont val="Tahoma"/>
            <family val="2"/>
          </rPr>
          <t xml:space="preserve">
BDA estimate</t>
        </r>
      </text>
    </comment>
    <comment ref="Z245" authorId="0" shapeId="0" xr:uid="{AFEB4F70-E147-4D9E-9B4E-8C56EC0B0D50}">
      <text>
        <r>
          <rPr>
            <b/>
            <sz val="9"/>
            <color indexed="81"/>
            <rFont val="Tahoma"/>
            <family val="2"/>
          </rPr>
          <t>Alex Nicolau:</t>
        </r>
        <r>
          <rPr>
            <sz val="9"/>
            <color indexed="81"/>
            <rFont val="Tahoma"/>
            <family val="2"/>
          </rPr>
          <t xml:space="preserve">
BDA estimate</t>
        </r>
      </text>
    </comment>
    <comment ref="AA245" authorId="0" shapeId="0" xr:uid="{86A71B3E-9094-4915-A1B8-1B21F0349435}">
      <text>
        <r>
          <rPr>
            <b/>
            <sz val="9"/>
            <color indexed="81"/>
            <rFont val="Tahoma"/>
            <family val="2"/>
          </rPr>
          <t>Alex Nicolau:</t>
        </r>
        <r>
          <rPr>
            <sz val="9"/>
            <color indexed="81"/>
            <rFont val="Tahoma"/>
            <family val="2"/>
          </rPr>
          <t xml:space="preserve">
BDA estimate</t>
        </r>
      </text>
    </comment>
    <comment ref="AB245" authorId="0" shapeId="0" xr:uid="{4A710B43-3E06-437A-B683-66CA0325BC07}">
      <text>
        <r>
          <rPr>
            <b/>
            <sz val="9"/>
            <color indexed="81"/>
            <rFont val="Tahoma"/>
            <family val="2"/>
          </rPr>
          <t>Alex Nicolau:</t>
        </r>
        <r>
          <rPr>
            <sz val="9"/>
            <color indexed="81"/>
            <rFont val="Tahoma"/>
            <family val="2"/>
          </rPr>
          <t xml:space="preserve">
BDA estimate</t>
        </r>
      </text>
    </comment>
    <comment ref="AC245" authorId="0" shapeId="0" xr:uid="{9D7DAD6B-0177-4684-BCB0-3E72D3E12A7E}">
      <text>
        <r>
          <rPr>
            <b/>
            <sz val="9"/>
            <color indexed="81"/>
            <rFont val="Tahoma"/>
            <family val="2"/>
          </rPr>
          <t>Alex Nicolau:</t>
        </r>
        <r>
          <rPr>
            <sz val="9"/>
            <color indexed="81"/>
            <rFont val="Tahoma"/>
            <family val="2"/>
          </rPr>
          <t xml:space="preserve">
BDA estimate</t>
        </r>
      </text>
    </comment>
    <comment ref="AD245" authorId="0" shapeId="0" xr:uid="{63768228-B325-4F27-99F3-EDF2C4846374}">
      <text>
        <r>
          <rPr>
            <b/>
            <sz val="9"/>
            <color indexed="81"/>
            <rFont val="Tahoma"/>
            <family val="2"/>
          </rPr>
          <t>Alex Nicolau:</t>
        </r>
        <r>
          <rPr>
            <sz val="9"/>
            <color indexed="81"/>
            <rFont val="Tahoma"/>
            <family val="2"/>
          </rPr>
          <t xml:space="preserve">
BDA estimate</t>
        </r>
      </text>
    </comment>
    <comment ref="AE245" authorId="0" shapeId="0" xr:uid="{D392E556-CCFB-42CD-AB59-A0EDD1590014}">
      <text>
        <r>
          <rPr>
            <b/>
            <sz val="9"/>
            <color indexed="81"/>
            <rFont val="Tahoma"/>
            <family val="2"/>
          </rPr>
          <t>Alex Nicolau:</t>
        </r>
        <r>
          <rPr>
            <sz val="9"/>
            <color indexed="81"/>
            <rFont val="Tahoma"/>
            <family val="2"/>
          </rPr>
          <t xml:space="preserve">
BDA estimate</t>
        </r>
      </text>
    </comment>
    <comment ref="S246" authorId="0" shapeId="0" xr:uid="{FC7D7573-585A-4A17-8DE2-38F7482623AB}">
      <text>
        <r>
          <rPr>
            <b/>
            <sz val="9"/>
            <color indexed="81"/>
            <rFont val="Tahoma"/>
            <family val="2"/>
          </rPr>
          <t>Alex Nicolau:</t>
        </r>
        <r>
          <rPr>
            <sz val="9"/>
            <color indexed="81"/>
            <rFont val="Tahoma"/>
            <family val="2"/>
          </rPr>
          <t xml:space="preserve">
BDA estimate</t>
        </r>
      </text>
    </comment>
    <comment ref="T246" authorId="0" shapeId="0" xr:uid="{34EB531C-AD3F-4808-B526-285202D23D97}">
      <text>
        <r>
          <rPr>
            <b/>
            <sz val="9"/>
            <color indexed="81"/>
            <rFont val="Tahoma"/>
            <family val="2"/>
          </rPr>
          <t>Alex Nicolau:</t>
        </r>
        <r>
          <rPr>
            <sz val="9"/>
            <color indexed="81"/>
            <rFont val="Tahoma"/>
            <family val="2"/>
          </rPr>
          <t xml:space="preserve">
BDA estimate</t>
        </r>
      </text>
    </comment>
    <comment ref="U246" authorId="0" shapeId="0" xr:uid="{028CEDEE-257C-4F30-8F1E-7EA01C2E3770}">
      <text>
        <r>
          <rPr>
            <b/>
            <sz val="9"/>
            <color indexed="81"/>
            <rFont val="Tahoma"/>
            <family val="2"/>
          </rPr>
          <t>Alex Nicolau:</t>
        </r>
        <r>
          <rPr>
            <sz val="9"/>
            <color indexed="81"/>
            <rFont val="Tahoma"/>
            <family val="2"/>
          </rPr>
          <t xml:space="preserve">
BDA estimate</t>
        </r>
      </text>
    </comment>
    <comment ref="V246" authorId="0" shapeId="0" xr:uid="{9B9DB298-3D5B-41AF-989A-E60EFFC780FA}">
      <text>
        <r>
          <rPr>
            <b/>
            <sz val="9"/>
            <color indexed="81"/>
            <rFont val="Tahoma"/>
            <family val="2"/>
          </rPr>
          <t>Alex Nicolau:</t>
        </r>
        <r>
          <rPr>
            <sz val="9"/>
            <color indexed="81"/>
            <rFont val="Tahoma"/>
            <family val="2"/>
          </rPr>
          <t xml:space="preserve">
BDA estimate</t>
        </r>
      </text>
    </comment>
    <comment ref="W246" authorId="0" shapeId="0" xr:uid="{E2394EC4-9BBE-4CC4-9A51-BB073175F724}">
      <text>
        <r>
          <rPr>
            <b/>
            <sz val="9"/>
            <color indexed="81"/>
            <rFont val="Tahoma"/>
            <family val="2"/>
          </rPr>
          <t>Alex Nicolau:</t>
        </r>
        <r>
          <rPr>
            <sz val="9"/>
            <color indexed="81"/>
            <rFont val="Tahoma"/>
            <family val="2"/>
          </rPr>
          <t xml:space="preserve">
BDA estimate</t>
        </r>
      </text>
    </comment>
    <comment ref="X246" authorId="0" shapeId="0" xr:uid="{5D2CEFC6-5088-40F1-96CE-B829EFF30B91}">
      <text>
        <r>
          <rPr>
            <b/>
            <sz val="9"/>
            <color indexed="81"/>
            <rFont val="Tahoma"/>
            <family val="2"/>
          </rPr>
          <t>Alex Nicolau:</t>
        </r>
        <r>
          <rPr>
            <sz val="9"/>
            <color indexed="81"/>
            <rFont val="Tahoma"/>
            <family val="2"/>
          </rPr>
          <t xml:space="preserve">
BDA estimate</t>
        </r>
      </text>
    </comment>
    <comment ref="Y246" authorId="0" shapeId="0" xr:uid="{2BB8A3F9-42FE-40E9-ABA5-79C3C4132CEF}">
      <text>
        <r>
          <rPr>
            <b/>
            <sz val="9"/>
            <color indexed="81"/>
            <rFont val="Tahoma"/>
            <family val="2"/>
          </rPr>
          <t>Alex Nicolau:</t>
        </r>
        <r>
          <rPr>
            <sz val="9"/>
            <color indexed="81"/>
            <rFont val="Tahoma"/>
            <family val="2"/>
          </rPr>
          <t xml:space="preserve">
BDA estimate</t>
        </r>
      </text>
    </comment>
    <comment ref="Z246" authorId="0" shapeId="0" xr:uid="{5D103FE7-2DBF-48BB-902E-4EFF0586969B}">
      <text>
        <r>
          <rPr>
            <b/>
            <sz val="9"/>
            <color indexed="81"/>
            <rFont val="Tahoma"/>
            <family val="2"/>
          </rPr>
          <t>Alex Nicolau:</t>
        </r>
        <r>
          <rPr>
            <sz val="9"/>
            <color indexed="81"/>
            <rFont val="Tahoma"/>
            <family val="2"/>
          </rPr>
          <t xml:space="preserve">
BDA estimate</t>
        </r>
      </text>
    </comment>
    <comment ref="AA246" authorId="0" shapeId="0" xr:uid="{456BFF12-3DAF-4662-8E55-62D002C7DC7A}">
      <text>
        <r>
          <rPr>
            <b/>
            <sz val="9"/>
            <color indexed="81"/>
            <rFont val="Tahoma"/>
            <family val="2"/>
          </rPr>
          <t>Alex Nicolau:</t>
        </r>
        <r>
          <rPr>
            <sz val="9"/>
            <color indexed="81"/>
            <rFont val="Tahoma"/>
            <family val="2"/>
          </rPr>
          <t xml:space="preserve">
BDA estimate</t>
        </r>
      </text>
    </comment>
    <comment ref="AB246" authorId="0" shapeId="0" xr:uid="{F908E462-D65D-4237-A247-7552B920B9B8}">
      <text>
        <r>
          <rPr>
            <b/>
            <sz val="9"/>
            <color indexed="81"/>
            <rFont val="Tahoma"/>
            <family val="2"/>
          </rPr>
          <t>Alex Nicolau:</t>
        </r>
        <r>
          <rPr>
            <sz val="9"/>
            <color indexed="81"/>
            <rFont val="Tahoma"/>
            <family val="2"/>
          </rPr>
          <t xml:space="preserve">
BDA estimate</t>
        </r>
      </text>
    </comment>
    <comment ref="AC246" authorId="0" shapeId="0" xr:uid="{CD343B69-F206-42C4-9B19-8DDD97924E7A}">
      <text>
        <r>
          <rPr>
            <b/>
            <sz val="9"/>
            <color indexed="81"/>
            <rFont val="Tahoma"/>
            <family val="2"/>
          </rPr>
          <t>Alex Nicolau:</t>
        </r>
        <r>
          <rPr>
            <sz val="9"/>
            <color indexed="81"/>
            <rFont val="Tahoma"/>
            <family val="2"/>
          </rPr>
          <t xml:space="preserve">
BDA estimate</t>
        </r>
      </text>
    </comment>
    <comment ref="AD246" authorId="0" shapeId="0" xr:uid="{199AB2E4-DD7E-49C1-B911-C95D29A1392A}">
      <text>
        <r>
          <rPr>
            <b/>
            <sz val="9"/>
            <color indexed="81"/>
            <rFont val="Tahoma"/>
            <family val="2"/>
          </rPr>
          <t>Alex Nicolau:</t>
        </r>
        <r>
          <rPr>
            <sz val="9"/>
            <color indexed="81"/>
            <rFont val="Tahoma"/>
            <family val="2"/>
          </rPr>
          <t xml:space="preserve">
BDA estimate</t>
        </r>
      </text>
    </comment>
    <comment ref="AE246" authorId="0" shapeId="0" xr:uid="{8212732A-4B70-49CC-BC08-41DB63AEFD08}">
      <text>
        <r>
          <rPr>
            <b/>
            <sz val="9"/>
            <color indexed="81"/>
            <rFont val="Tahoma"/>
            <family val="2"/>
          </rPr>
          <t>Alex Nicolau:</t>
        </r>
        <r>
          <rPr>
            <sz val="9"/>
            <color indexed="81"/>
            <rFont val="Tahoma"/>
            <family val="2"/>
          </rPr>
          <t xml:space="preserve">
BDA estimate</t>
        </r>
      </text>
    </comment>
    <comment ref="Z250" authorId="0" shapeId="0" xr:uid="{D60ACB29-D56D-469A-A38B-8B346555D6F7}">
      <text>
        <r>
          <rPr>
            <b/>
            <sz val="9"/>
            <color indexed="81"/>
            <rFont val="Tahoma"/>
            <family val="2"/>
          </rPr>
          <t>Alex Nicolau:</t>
        </r>
        <r>
          <rPr>
            <sz val="9"/>
            <color indexed="81"/>
            <rFont val="Tahoma"/>
            <family val="2"/>
          </rPr>
          <t xml:space="preserve">
BDA estimate</t>
        </r>
      </text>
    </comment>
    <comment ref="AA250" authorId="0" shapeId="0" xr:uid="{F18C0F35-40EA-4C2E-8EC4-6CE5C2BF8BA6}">
      <text>
        <r>
          <rPr>
            <b/>
            <sz val="9"/>
            <color indexed="81"/>
            <rFont val="Tahoma"/>
            <family val="2"/>
          </rPr>
          <t>Alex Nicolau:</t>
        </r>
        <r>
          <rPr>
            <sz val="9"/>
            <color indexed="81"/>
            <rFont val="Tahoma"/>
            <family val="2"/>
          </rPr>
          <t xml:space="preserve">
BDA estimate</t>
        </r>
      </text>
    </comment>
    <comment ref="AB250" authorId="0" shapeId="0" xr:uid="{943F3A02-1249-42CE-BC9A-38E28F2D39DF}">
      <text>
        <r>
          <rPr>
            <b/>
            <sz val="9"/>
            <color indexed="81"/>
            <rFont val="Tahoma"/>
            <family val="2"/>
          </rPr>
          <t>Alex Nicolau:</t>
        </r>
        <r>
          <rPr>
            <sz val="9"/>
            <color indexed="81"/>
            <rFont val="Tahoma"/>
            <family val="2"/>
          </rPr>
          <t xml:space="preserve">
BDA estimate</t>
        </r>
      </text>
    </comment>
    <comment ref="AC250" authorId="0" shapeId="0" xr:uid="{F99B4C5F-9BD5-4B2C-B54A-47489B275495}">
      <text>
        <r>
          <rPr>
            <b/>
            <sz val="9"/>
            <color indexed="81"/>
            <rFont val="Tahoma"/>
            <family val="2"/>
          </rPr>
          <t>Alex Nicolau:</t>
        </r>
        <r>
          <rPr>
            <sz val="9"/>
            <color indexed="81"/>
            <rFont val="Tahoma"/>
            <family val="2"/>
          </rPr>
          <t xml:space="preserve">
BDA estimate</t>
        </r>
      </text>
    </comment>
    <comment ref="AD250" authorId="0" shapeId="0" xr:uid="{1DA7087C-FE69-4C1A-858F-CF6FEEF4D76A}">
      <text>
        <r>
          <rPr>
            <b/>
            <sz val="9"/>
            <color indexed="81"/>
            <rFont val="Tahoma"/>
            <family val="2"/>
          </rPr>
          <t>Alex Nicolau:</t>
        </r>
        <r>
          <rPr>
            <sz val="9"/>
            <color indexed="81"/>
            <rFont val="Tahoma"/>
            <family val="2"/>
          </rPr>
          <t xml:space="preserve">
BDA estimate</t>
        </r>
      </text>
    </comment>
    <comment ref="AE250" authorId="0" shapeId="0" xr:uid="{CFEB53F3-639D-4FA5-A7A0-7115EDE504B5}">
      <text>
        <r>
          <rPr>
            <b/>
            <sz val="9"/>
            <color indexed="81"/>
            <rFont val="Tahoma"/>
            <family val="2"/>
          </rPr>
          <t>Alex Nicolau:</t>
        </r>
        <r>
          <rPr>
            <sz val="9"/>
            <color indexed="81"/>
            <rFont val="Tahoma"/>
            <family val="2"/>
          </rPr>
          <t xml:space="preserve">
BDA estimate</t>
        </r>
      </text>
    </comment>
    <comment ref="AF250" authorId="0" shapeId="0" xr:uid="{FAD24437-C5E1-4442-8C88-6F689F99EF5F}">
      <text>
        <r>
          <rPr>
            <b/>
            <sz val="9"/>
            <color indexed="81"/>
            <rFont val="Tahoma"/>
            <family val="2"/>
          </rPr>
          <t>Alex Nicolau:</t>
        </r>
        <r>
          <rPr>
            <sz val="9"/>
            <color indexed="81"/>
            <rFont val="Tahoma"/>
            <family val="2"/>
          </rPr>
          <t xml:space="preserve">
BDA estimate</t>
        </r>
      </text>
    </comment>
    <comment ref="AG250" authorId="0" shapeId="0" xr:uid="{1E060223-CE7F-4D8E-8659-E716A3AECBC2}">
      <text>
        <r>
          <rPr>
            <b/>
            <sz val="9"/>
            <color indexed="81"/>
            <rFont val="Tahoma"/>
            <family val="2"/>
          </rPr>
          <t>Alex Nicolau:</t>
        </r>
        <r>
          <rPr>
            <sz val="9"/>
            <color indexed="81"/>
            <rFont val="Tahoma"/>
            <family val="2"/>
          </rPr>
          <t xml:space="preserve">
BDA estimate</t>
        </r>
      </text>
    </comment>
    <comment ref="D267" authorId="0" shapeId="0" xr:uid="{8D869FF2-CA3F-46F4-AB52-4C5C276E46CF}">
      <text>
        <r>
          <rPr>
            <b/>
            <sz val="9"/>
            <color indexed="81"/>
            <rFont val="Tahoma"/>
            <family val="2"/>
          </rPr>
          <t>Alex Nicolau:</t>
        </r>
        <r>
          <rPr>
            <sz val="9"/>
            <color indexed="81"/>
            <rFont val="Tahoma"/>
            <family val="2"/>
          </rPr>
          <t xml:space="preserve">
BDA estimate</t>
        </r>
      </text>
    </comment>
    <comment ref="E267" authorId="0" shapeId="0" xr:uid="{48253C90-61E1-49E9-B339-A6CCBB9C3C1B}">
      <text>
        <r>
          <rPr>
            <b/>
            <sz val="9"/>
            <color indexed="81"/>
            <rFont val="Tahoma"/>
            <family val="2"/>
          </rPr>
          <t>Alex Nicolau:</t>
        </r>
        <r>
          <rPr>
            <sz val="9"/>
            <color indexed="81"/>
            <rFont val="Tahoma"/>
            <family val="2"/>
          </rPr>
          <t xml:space="preserve">
BDA estimate</t>
        </r>
      </text>
    </comment>
    <comment ref="F267" authorId="0" shapeId="0" xr:uid="{D699F048-7B2E-4733-BB7A-1DBF5C626E08}">
      <text>
        <r>
          <rPr>
            <b/>
            <sz val="9"/>
            <color indexed="81"/>
            <rFont val="Tahoma"/>
            <family val="2"/>
          </rPr>
          <t>Alex Nicolau:</t>
        </r>
        <r>
          <rPr>
            <sz val="9"/>
            <color indexed="81"/>
            <rFont val="Tahoma"/>
            <family val="2"/>
          </rPr>
          <t xml:space="preserve">
BDA estimate</t>
        </r>
      </text>
    </comment>
    <comment ref="G267" authorId="0" shapeId="0" xr:uid="{BAD632DB-F0B6-4262-B57B-72E52B75F264}">
      <text>
        <r>
          <rPr>
            <b/>
            <sz val="9"/>
            <color indexed="81"/>
            <rFont val="Tahoma"/>
            <family val="2"/>
          </rPr>
          <t>Alex Nicolau:</t>
        </r>
        <r>
          <rPr>
            <sz val="9"/>
            <color indexed="81"/>
            <rFont val="Tahoma"/>
            <family val="2"/>
          </rPr>
          <t xml:space="preserve">
BDA estimate</t>
        </r>
      </text>
    </comment>
    <comment ref="H267" authorId="0" shapeId="0" xr:uid="{21619B7A-6D11-4E0C-8ED3-5D1A5825DC95}">
      <text>
        <r>
          <rPr>
            <b/>
            <sz val="9"/>
            <color indexed="81"/>
            <rFont val="Tahoma"/>
            <family val="2"/>
          </rPr>
          <t>Alex Nicolau:</t>
        </r>
        <r>
          <rPr>
            <sz val="9"/>
            <color indexed="81"/>
            <rFont val="Tahoma"/>
            <family val="2"/>
          </rPr>
          <t xml:space="preserve">
BDA estimate</t>
        </r>
      </text>
    </comment>
    <comment ref="I267" authorId="0" shapeId="0" xr:uid="{AF4C98A6-07EC-410C-924E-23212DA10FF3}">
      <text>
        <r>
          <rPr>
            <b/>
            <sz val="9"/>
            <color indexed="81"/>
            <rFont val="Tahoma"/>
            <family val="2"/>
          </rPr>
          <t>Alex Nicolau:</t>
        </r>
        <r>
          <rPr>
            <sz val="9"/>
            <color indexed="81"/>
            <rFont val="Tahoma"/>
            <family val="2"/>
          </rPr>
          <t xml:space="preserve">
BDA estimate</t>
        </r>
      </text>
    </comment>
    <comment ref="J267" authorId="0" shapeId="0" xr:uid="{15EEFA49-62FA-4DC8-84DD-6DC4AF8BF20E}">
      <text>
        <r>
          <rPr>
            <b/>
            <sz val="9"/>
            <color indexed="81"/>
            <rFont val="Tahoma"/>
            <family val="2"/>
          </rPr>
          <t>Alex Nicolau:</t>
        </r>
        <r>
          <rPr>
            <sz val="9"/>
            <color indexed="81"/>
            <rFont val="Tahoma"/>
            <family val="2"/>
          </rPr>
          <t xml:space="preserve">
BDA estimate</t>
        </r>
      </text>
    </comment>
    <comment ref="K267" authorId="0" shapeId="0" xr:uid="{DD3427C3-28FC-4DCC-B96B-20C092BA6A5D}">
      <text>
        <r>
          <rPr>
            <b/>
            <sz val="9"/>
            <color indexed="81"/>
            <rFont val="Tahoma"/>
            <family val="2"/>
          </rPr>
          <t>Alex Nicolau:</t>
        </r>
        <r>
          <rPr>
            <sz val="9"/>
            <color indexed="81"/>
            <rFont val="Tahoma"/>
            <family val="2"/>
          </rPr>
          <t xml:space="preserve">
BDA estimate</t>
        </r>
      </text>
    </comment>
    <comment ref="AO267" authorId="0" shapeId="0" xr:uid="{A3404FAE-94F8-470E-9935-7FDDF4A3E9E2}">
      <text>
        <r>
          <rPr>
            <b/>
            <sz val="9"/>
            <color indexed="81"/>
            <rFont val="Tahoma"/>
            <family val="2"/>
          </rPr>
          <t>Alex Nicolau:</t>
        </r>
        <r>
          <rPr>
            <sz val="9"/>
            <color indexed="81"/>
            <rFont val="Tahoma"/>
            <family val="2"/>
          </rPr>
          <t xml:space="preserve">
BDA estimate</t>
        </r>
      </text>
    </comment>
    <comment ref="S268" authorId="0" shapeId="0" xr:uid="{84FFEBBB-FD83-4111-AFFE-FB9546D3D82D}">
      <text>
        <r>
          <rPr>
            <b/>
            <sz val="9"/>
            <color indexed="81"/>
            <rFont val="Tahoma"/>
            <family val="2"/>
          </rPr>
          <t>Alex Nicolau:</t>
        </r>
        <r>
          <rPr>
            <sz val="9"/>
            <color indexed="81"/>
            <rFont val="Tahoma"/>
            <family val="2"/>
          </rPr>
          <t xml:space="preserve">
BDA estimate</t>
        </r>
      </text>
    </comment>
    <comment ref="T268" authorId="0" shapeId="0" xr:uid="{D821AD77-81BF-4284-A3DB-F05DDC1688D6}">
      <text>
        <r>
          <rPr>
            <b/>
            <sz val="9"/>
            <color indexed="81"/>
            <rFont val="Tahoma"/>
            <family val="2"/>
          </rPr>
          <t>Alex Nicolau:</t>
        </r>
        <r>
          <rPr>
            <sz val="9"/>
            <color indexed="81"/>
            <rFont val="Tahoma"/>
            <family val="2"/>
          </rPr>
          <t xml:space="preserve">
BDA estimate</t>
        </r>
      </text>
    </comment>
    <comment ref="U268" authorId="0" shapeId="0" xr:uid="{543753E6-E22C-4DE2-9D97-73FFA158502A}">
      <text>
        <r>
          <rPr>
            <b/>
            <sz val="9"/>
            <color indexed="81"/>
            <rFont val="Tahoma"/>
            <family val="2"/>
          </rPr>
          <t>Alex Nicolau:</t>
        </r>
        <r>
          <rPr>
            <sz val="9"/>
            <color indexed="81"/>
            <rFont val="Tahoma"/>
            <family val="2"/>
          </rPr>
          <t xml:space="preserve">
BDA estimate</t>
        </r>
      </text>
    </comment>
    <comment ref="V268" authorId="0" shapeId="0" xr:uid="{22C77114-BB72-4FC3-AF6A-48CE74DEA914}">
      <text>
        <r>
          <rPr>
            <b/>
            <sz val="9"/>
            <color indexed="81"/>
            <rFont val="Tahoma"/>
            <family val="2"/>
          </rPr>
          <t>Alex Nicolau:</t>
        </r>
        <r>
          <rPr>
            <sz val="9"/>
            <color indexed="81"/>
            <rFont val="Tahoma"/>
            <family val="2"/>
          </rPr>
          <t xml:space="preserve">
BDA estimate</t>
        </r>
      </text>
    </comment>
    <comment ref="W268" authorId="0" shapeId="0" xr:uid="{86DD6472-DE90-4396-8BCB-998578BF79E4}">
      <text>
        <r>
          <rPr>
            <b/>
            <sz val="9"/>
            <color indexed="81"/>
            <rFont val="Tahoma"/>
            <family val="2"/>
          </rPr>
          <t>Alex Nicolau:</t>
        </r>
        <r>
          <rPr>
            <sz val="9"/>
            <color indexed="81"/>
            <rFont val="Tahoma"/>
            <family val="2"/>
          </rPr>
          <t xml:space="preserve">
BDA estimate</t>
        </r>
      </text>
    </comment>
    <comment ref="X268" authorId="0" shapeId="0" xr:uid="{8F198A7B-A756-4DDF-873E-CE6D9FBF0E3A}">
      <text>
        <r>
          <rPr>
            <b/>
            <sz val="9"/>
            <color indexed="81"/>
            <rFont val="Tahoma"/>
            <family val="2"/>
          </rPr>
          <t>Alex Nicolau:</t>
        </r>
        <r>
          <rPr>
            <sz val="9"/>
            <color indexed="81"/>
            <rFont val="Tahoma"/>
            <family val="2"/>
          </rPr>
          <t xml:space="preserve">
BDA estimate</t>
        </r>
      </text>
    </comment>
    <comment ref="Y268" authorId="0" shapeId="0" xr:uid="{6559A505-1D45-4BC7-8D5A-1A2C92596CD1}">
      <text>
        <r>
          <rPr>
            <b/>
            <sz val="9"/>
            <color indexed="81"/>
            <rFont val="Tahoma"/>
            <family val="2"/>
          </rPr>
          <t>Alex Nicolau:</t>
        </r>
        <r>
          <rPr>
            <sz val="9"/>
            <color indexed="81"/>
            <rFont val="Tahoma"/>
            <family val="2"/>
          </rPr>
          <t xml:space="preserve">
BDA estimate</t>
        </r>
      </text>
    </comment>
    <comment ref="Z268" authorId="0" shapeId="0" xr:uid="{308AE7A5-F51E-4438-91A6-B772727CDE7A}">
      <text>
        <r>
          <rPr>
            <b/>
            <sz val="9"/>
            <color indexed="81"/>
            <rFont val="Tahoma"/>
            <family val="2"/>
          </rPr>
          <t>Alex Nicolau:</t>
        </r>
        <r>
          <rPr>
            <sz val="9"/>
            <color indexed="81"/>
            <rFont val="Tahoma"/>
            <family val="2"/>
          </rPr>
          <t xml:space="preserve">
BDA estimate</t>
        </r>
      </text>
    </comment>
    <comment ref="AA268" authorId="0" shapeId="0" xr:uid="{43722F27-BA47-46F5-8505-FD5850557E94}">
      <text>
        <r>
          <rPr>
            <b/>
            <sz val="9"/>
            <color indexed="81"/>
            <rFont val="Tahoma"/>
            <family val="2"/>
          </rPr>
          <t>Alex Nicolau:</t>
        </r>
        <r>
          <rPr>
            <sz val="9"/>
            <color indexed="81"/>
            <rFont val="Tahoma"/>
            <family val="2"/>
          </rPr>
          <t xml:space="preserve">
BDA estimate</t>
        </r>
      </text>
    </comment>
    <comment ref="AB268" authorId="0" shapeId="0" xr:uid="{F1375C5F-0142-447D-81DC-4D8C62506217}">
      <text>
        <r>
          <rPr>
            <b/>
            <sz val="9"/>
            <color indexed="81"/>
            <rFont val="Tahoma"/>
            <family val="2"/>
          </rPr>
          <t>Alex Nicolau:</t>
        </r>
        <r>
          <rPr>
            <sz val="9"/>
            <color indexed="81"/>
            <rFont val="Tahoma"/>
            <family val="2"/>
          </rPr>
          <t xml:space="preserve">
BDA estimate</t>
        </r>
      </text>
    </comment>
    <comment ref="AC268" authorId="0" shapeId="0" xr:uid="{8DDC4676-7E9D-4CDD-85FB-25793C5931E1}">
      <text>
        <r>
          <rPr>
            <b/>
            <sz val="9"/>
            <color indexed="81"/>
            <rFont val="Tahoma"/>
            <family val="2"/>
          </rPr>
          <t>Alex Nicolau:</t>
        </r>
        <r>
          <rPr>
            <sz val="9"/>
            <color indexed="81"/>
            <rFont val="Tahoma"/>
            <family val="2"/>
          </rPr>
          <t xml:space="preserve">
BDA estimate</t>
        </r>
      </text>
    </comment>
    <comment ref="AD268" authorId="0" shapeId="0" xr:uid="{6B5B0569-9BB4-436E-990A-785CE3B62AF8}">
      <text>
        <r>
          <rPr>
            <b/>
            <sz val="9"/>
            <color indexed="81"/>
            <rFont val="Tahoma"/>
            <family val="2"/>
          </rPr>
          <t>Alex Nicolau:</t>
        </r>
        <r>
          <rPr>
            <sz val="9"/>
            <color indexed="81"/>
            <rFont val="Tahoma"/>
            <family val="2"/>
          </rPr>
          <t xml:space="preserve">
BDA estimate</t>
        </r>
      </text>
    </comment>
    <comment ref="AE268" authorId="0" shapeId="0" xr:uid="{B362954B-9FD5-4FFF-80D0-CB7028F8CB30}">
      <text>
        <r>
          <rPr>
            <b/>
            <sz val="9"/>
            <color indexed="81"/>
            <rFont val="Tahoma"/>
            <family val="2"/>
          </rPr>
          <t>Alex Nicolau:</t>
        </r>
        <r>
          <rPr>
            <sz val="9"/>
            <color indexed="81"/>
            <rFont val="Tahoma"/>
            <family val="2"/>
          </rPr>
          <t xml:space="preserve">
BDA estimate</t>
        </r>
      </text>
    </comment>
    <comment ref="S298" authorId="0" shapeId="0" xr:uid="{1DDE197D-95C1-4CCF-B66E-DFEF3FF22616}">
      <text>
        <r>
          <rPr>
            <b/>
            <sz val="9"/>
            <color indexed="81"/>
            <rFont val="Tahoma"/>
            <family val="2"/>
          </rPr>
          <t>Alex Nicolau:</t>
        </r>
        <r>
          <rPr>
            <sz val="9"/>
            <color indexed="81"/>
            <rFont val="Tahoma"/>
            <family val="2"/>
          </rPr>
          <t xml:space="preserve">
BDA estimate</t>
        </r>
      </text>
    </comment>
    <comment ref="T298" authorId="0" shapeId="0" xr:uid="{AC6BBA6F-4CAC-44A0-80A0-3CD4CB35964B}">
      <text>
        <r>
          <rPr>
            <b/>
            <sz val="9"/>
            <color indexed="81"/>
            <rFont val="Tahoma"/>
            <family val="2"/>
          </rPr>
          <t>Alex Nicolau:</t>
        </r>
        <r>
          <rPr>
            <sz val="9"/>
            <color indexed="81"/>
            <rFont val="Tahoma"/>
            <family val="2"/>
          </rPr>
          <t xml:space="preserve">
BDA estimate</t>
        </r>
      </text>
    </comment>
    <comment ref="U298" authorId="0" shapeId="0" xr:uid="{674F25C4-9073-45D2-B729-827BEE4F2A5B}">
      <text>
        <r>
          <rPr>
            <b/>
            <sz val="9"/>
            <color indexed="81"/>
            <rFont val="Tahoma"/>
            <family val="2"/>
          </rPr>
          <t>Alex Nicolau:</t>
        </r>
        <r>
          <rPr>
            <sz val="9"/>
            <color indexed="81"/>
            <rFont val="Tahoma"/>
            <family val="2"/>
          </rPr>
          <t xml:space="preserve">
BDA estimate</t>
        </r>
      </text>
    </comment>
    <comment ref="V298" authorId="0" shapeId="0" xr:uid="{C7A69AAD-3FF4-474D-8C4E-2017D49C56A9}">
      <text>
        <r>
          <rPr>
            <b/>
            <sz val="9"/>
            <color indexed="81"/>
            <rFont val="Tahoma"/>
            <family val="2"/>
          </rPr>
          <t>Alex Nicolau:</t>
        </r>
        <r>
          <rPr>
            <sz val="9"/>
            <color indexed="81"/>
            <rFont val="Tahoma"/>
            <family val="2"/>
          </rPr>
          <t xml:space="preserve">
BDA estimate</t>
        </r>
      </text>
    </comment>
    <comment ref="W298" authorId="0" shapeId="0" xr:uid="{E93265D1-7CA0-41ED-A14A-B03A84F1EA92}">
      <text>
        <r>
          <rPr>
            <b/>
            <sz val="9"/>
            <color indexed="81"/>
            <rFont val="Tahoma"/>
            <family val="2"/>
          </rPr>
          <t>Alex Nicolau:</t>
        </r>
        <r>
          <rPr>
            <sz val="9"/>
            <color indexed="81"/>
            <rFont val="Tahoma"/>
            <family val="2"/>
          </rPr>
          <t xml:space="preserve">
BDA estimate</t>
        </r>
      </text>
    </comment>
    <comment ref="X298" authorId="0" shapeId="0" xr:uid="{E32E38F5-8AF9-4F1C-8EF7-870DCD1CA743}">
      <text>
        <r>
          <rPr>
            <b/>
            <sz val="9"/>
            <color indexed="81"/>
            <rFont val="Tahoma"/>
            <family val="2"/>
          </rPr>
          <t>Alex Nicolau:</t>
        </r>
        <r>
          <rPr>
            <sz val="9"/>
            <color indexed="81"/>
            <rFont val="Tahoma"/>
            <family val="2"/>
          </rPr>
          <t xml:space="preserve">
BDA estimate</t>
        </r>
      </text>
    </comment>
    <comment ref="Y298" authorId="0" shapeId="0" xr:uid="{B90932F9-4C7D-4070-BBAA-0DB76E8D827C}">
      <text>
        <r>
          <rPr>
            <b/>
            <sz val="9"/>
            <color indexed="81"/>
            <rFont val="Tahoma"/>
            <family val="2"/>
          </rPr>
          <t>Alex Nicolau:</t>
        </r>
        <r>
          <rPr>
            <sz val="9"/>
            <color indexed="81"/>
            <rFont val="Tahoma"/>
            <family val="2"/>
          </rPr>
          <t xml:space="preserve">
BDA estimate</t>
        </r>
      </text>
    </comment>
    <comment ref="Z298" authorId="0" shapeId="0" xr:uid="{3DBF77F2-3F88-47BA-B026-F9E2FC59DD50}">
      <text>
        <r>
          <rPr>
            <b/>
            <sz val="9"/>
            <color indexed="81"/>
            <rFont val="Tahoma"/>
            <family val="2"/>
          </rPr>
          <t>Alex Nicolau:</t>
        </r>
        <r>
          <rPr>
            <sz val="9"/>
            <color indexed="81"/>
            <rFont val="Tahoma"/>
            <family val="2"/>
          </rPr>
          <t xml:space="preserve">
BDA estimate</t>
        </r>
      </text>
    </comment>
    <comment ref="AA298" authorId="0" shapeId="0" xr:uid="{E7981FC3-D1B4-441C-AE7B-137E31A1DEEC}">
      <text>
        <r>
          <rPr>
            <b/>
            <sz val="9"/>
            <color indexed="81"/>
            <rFont val="Tahoma"/>
            <family val="2"/>
          </rPr>
          <t>Alex Nicolau:</t>
        </r>
        <r>
          <rPr>
            <sz val="9"/>
            <color indexed="81"/>
            <rFont val="Tahoma"/>
            <family val="2"/>
          </rPr>
          <t xml:space="preserve">
BDA estimate</t>
        </r>
      </text>
    </comment>
    <comment ref="AB298" authorId="0" shapeId="0" xr:uid="{1E678F2C-6E92-4774-86A5-A14F2C54327E}">
      <text>
        <r>
          <rPr>
            <b/>
            <sz val="9"/>
            <color indexed="81"/>
            <rFont val="Tahoma"/>
            <family val="2"/>
          </rPr>
          <t>Alex Nicolau:</t>
        </r>
        <r>
          <rPr>
            <sz val="9"/>
            <color indexed="81"/>
            <rFont val="Tahoma"/>
            <family val="2"/>
          </rPr>
          <t xml:space="preserve">
BDA estimate</t>
        </r>
      </text>
    </comment>
    <comment ref="AC298" authorId="0" shapeId="0" xr:uid="{B7DC50CD-2885-4F28-B69C-7D522D24CC41}">
      <text>
        <r>
          <rPr>
            <b/>
            <sz val="9"/>
            <color indexed="81"/>
            <rFont val="Tahoma"/>
            <family val="2"/>
          </rPr>
          <t>Alex Nicolau:</t>
        </r>
        <r>
          <rPr>
            <sz val="9"/>
            <color indexed="81"/>
            <rFont val="Tahoma"/>
            <family val="2"/>
          </rPr>
          <t xml:space="preserve">
BDA estimate</t>
        </r>
      </text>
    </comment>
    <comment ref="AD298" authorId="0" shapeId="0" xr:uid="{9AABED62-BAD4-4F71-9165-536148B0F43F}">
      <text>
        <r>
          <rPr>
            <b/>
            <sz val="9"/>
            <color indexed="81"/>
            <rFont val="Tahoma"/>
            <family val="2"/>
          </rPr>
          <t>Alex Nicolau:</t>
        </r>
        <r>
          <rPr>
            <sz val="9"/>
            <color indexed="81"/>
            <rFont val="Tahoma"/>
            <family val="2"/>
          </rPr>
          <t xml:space="preserve">
BDA estimate</t>
        </r>
      </text>
    </comment>
    <comment ref="AA313" authorId="0" shapeId="0" xr:uid="{C352E1F4-F6D1-4284-86D7-47FE8FD9BEBA}">
      <text>
        <r>
          <rPr>
            <b/>
            <sz val="9"/>
            <color indexed="81"/>
            <rFont val="Tahoma"/>
            <family val="2"/>
          </rPr>
          <t>Alex Nicolau:</t>
        </r>
        <r>
          <rPr>
            <sz val="9"/>
            <color indexed="81"/>
            <rFont val="Tahoma"/>
            <family val="2"/>
          </rPr>
          <t xml:space="preserve">
BDA estimate</t>
        </r>
      </text>
    </comment>
    <comment ref="AB313" authorId="0" shapeId="0" xr:uid="{691D8CC7-18A4-4539-89C5-597F3497C52B}">
      <text>
        <r>
          <rPr>
            <b/>
            <sz val="9"/>
            <color indexed="81"/>
            <rFont val="Tahoma"/>
            <family val="2"/>
          </rPr>
          <t>Alex Nicolau:</t>
        </r>
        <r>
          <rPr>
            <sz val="9"/>
            <color indexed="81"/>
            <rFont val="Tahoma"/>
            <family val="2"/>
          </rPr>
          <t xml:space="preserve">
BDA estimate</t>
        </r>
      </text>
    </comment>
    <comment ref="AC313" authorId="0" shapeId="0" xr:uid="{5B5887E9-01B4-40E2-B0FE-A4AF0A8D0520}">
      <text>
        <r>
          <rPr>
            <b/>
            <sz val="9"/>
            <color indexed="81"/>
            <rFont val="Tahoma"/>
            <family val="2"/>
          </rPr>
          <t>Alex Nicolau:</t>
        </r>
        <r>
          <rPr>
            <sz val="9"/>
            <color indexed="81"/>
            <rFont val="Tahoma"/>
            <family val="2"/>
          </rPr>
          <t xml:space="preserve">
BDA estimate</t>
        </r>
      </text>
    </comment>
    <comment ref="AD313" authorId="0" shapeId="0" xr:uid="{0240F5B1-A444-42FD-9BA9-7C4EEB458E35}">
      <text>
        <r>
          <rPr>
            <b/>
            <sz val="9"/>
            <color indexed="81"/>
            <rFont val="Tahoma"/>
            <family val="2"/>
          </rPr>
          <t>Alex Nicolau:</t>
        </r>
        <r>
          <rPr>
            <sz val="9"/>
            <color indexed="81"/>
            <rFont val="Tahoma"/>
            <family val="2"/>
          </rPr>
          <t xml:space="preserve">
BDA estimate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<sst xmlns="http://schemas.openxmlformats.org/spreadsheetml/2006/main" count="3253" uniqueCount="602">
  <si>
    <t>PDD</t>
  </si>
  <si>
    <t>Historical Financials</t>
  </si>
  <si>
    <t>Merchandise sales</t>
  </si>
  <si>
    <t>Cost of merchandise sales</t>
  </si>
  <si>
    <t>Total cost of revenues</t>
  </si>
  <si>
    <t>Payment processing fees</t>
  </si>
  <si>
    <t>Sales and marketing expenses</t>
  </si>
  <si>
    <t>General and administrative expenses</t>
  </si>
  <si>
    <t>Research and development expenses</t>
  </si>
  <si>
    <t>Impairment of long-term investment</t>
  </si>
  <si>
    <t>Total operating expenses</t>
  </si>
  <si>
    <t>Operating profit (loss)</t>
  </si>
  <si>
    <t>Gross profit (loss)</t>
  </si>
  <si>
    <t>Interest income</t>
  </si>
  <si>
    <t>Interest expense</t>
  </si>
  <si>
    <t>Foreign exchange gain (loss)</t>
  </si>
  <si>
    <t>Change in the fair value of the warrant liability</t>
  </si>
  <si>
    <t>Other income (loss), net</t>
  </si>
  <si>
    <t>Income (loss) before income taxes</t>
  </si>
  <si>
    <t>Income tax expenses</t>
  </si>
  <si>
    <t>Share of results of equity investee</t>
  </si>
  <si>
    <t>Net income (loss)</t>
  </si>
  <si>
    <t>Deemed distribution to certain holders of convertible preferred shares</t>
  </si>
  <si>
    <t>Contribution from a holder of convertible preferred shares</t>
  </si>
  <si>
    <t>Net income (loss) attributable to ordinary shareholders</t>
  </si>
  <si>
    <t>Income Statement</t>
  </si>
  <si>
    <t>1Q18</t>
  </si>
  <si>
    <t>2Q18</t>
  </si>
  <si>
    <t>3Q18</t>
  </si>
  <si>
    <t>4Q18</t>
  </si>
  <si>
    <t>1Q19</t>
  </si>
  <si>
    <t>2Q19</t>
  </si>
  <si>
    <t>3Q19</t>
  </si>
  <si>
    <t>4Q19</t>
  </si>
  <si>
    <t>1Q20</t>
  </si>
  <si>
    <t>2Q20</t>
  </si>
  <si>
    <t>3Q20</t>
  </si>
  <si>
    <t>4Q20</t>
  </si>
  <si>
    <t>1Q21</t>
  </si>
  <si>
    <t>2Q21</t>
  </si>
  <si>
    <t>3Q21</t>
  </si>
  <si>
    <t>4Q21</t>
  </si>
  <si>
    <t>1Q22</t>
  </si>
  <si>
    <t>2Q22</t>
  </si>
  <si>
    <t>3Q22</t>
  </si>
  <si>
    <t>4Q22</t>
  </si>
  <si>
    <t>1Q23</t>
  </si>
  <si>
    <t>2Q23</t>
  </si>
  <si>
    <t>3Q23</t>
  </si>
  <si>
    <t>4Q24e</t>
  </si>
  <si>
    <t>FY16</t>
  </si>
  <si>
    <t>FY17</t>
  </si>
  <si>
    <t>FY18</t>
  </si>
  <si>
    <t>FY19</t>
  </si>
  <si>
    <t>FY20</t>
  </si>
  <si>
    <t>FY21</t>
  </si>
  <si>
    <t>FY22</t>
  </si>
  <si>
    <t>FY24e</t>
  </si>
  <si>
    <t>FYE December 31,</t>
  </si>
  <si>
    <t>Quarterly,</t>
  </si>
  <si>
    <t>Weighted average basic shares oustanding</t>
  </si>
  <si>
    <t>Weighted average diluted shares oustanding</t>
  </si>
  <si>
    <t>Basic EPS</t>
  </si>
  <si>
    <t>Diluted EPS</t>
  </si>
  <si>
    <t>n/a</t>
  </si>
  <si>
    <t>Memo:</t>
  </si>
  <si>
    <t>Online marketing services and other</t>
  </si>
  <si>
    <t>Transaction services</t>
  </si>
  <si>
    <t>Costs associated with the operation of our platform and others</t>
  </si>
  <si>
    <t>SBC</t>
  </si>
  <si>
    <t>Share-Based Compensation</t>
  </si>
  <si>
    <t>Cost of revenues</t>
  </si>
  <si>
    <t>Total revenues</t>
  </si>
  <si>
    <t>Total share-based compensation</t>
  </si>
  <si>
    <t>Non-GAAP Operating Income (Loss)</t>
  </si>
  <si>
    <t>GAAP operating income (loss)</t>
  </si>
  <si>
    <t>Share-based compensation</t>
  </si>
  <si>
    <t>Impairment of long-term investments</t>
  </si>
  <si>
    <t>Non-GAAP operating income (loss)</t>
  </si>
  <si>
    <t>Non-GAAP Net Income (Loss)</t>
  </si>
  <si>
    <t>Interest expenses related to the convertible bonds' amortization to face value</t>
  </si>
  <si>
    <t>Non-GAAP net income attributable to ordinary shareholders</t>
  </si>
  <si>
    <t>Non-GAAP weighted average diluted shares outstanding</t>
  </si>
  <si>
    <t>Non-GAAP diluted EPS</t>
  </si>
  <si>
    <t>Financial Summary</t>
  </si>
  <si>
    <t>Y/Y % Change</t>
  </si>
  <si>
    <t>Non-GAAP Gross Profit</t>
  </si>
  <si>
    <t>Margin</t>
  </si>
  <si>
    <t>Non-GAAP S&amp;M</t>
  </si>
  <si>
    <t>Non-GAAP R&amp;D</t>
  </si>
  <si>
    <t>Non-GAAP G&amp;A</t>
  </si>
  <si>
    <t>Non-GAAP Opex</t>
  </si>
  <si>
    <t>(Gain) / loss from fair value change of certain investments</t>
  </si>
  <si>
    <t>Non-GAAP EBIT</t>
  </si>
  <si>
    <t>% of Revenue</t>
  </si>
  <si>
    <t>CRC EBIT</t>
  </si>
  <si>
    <t>Other</t>
  </si>
  <si>
    <t>CRC EBT</t>
  </si>
  <si>
    <t>Taxes (reported)</t>
  </si>
  <si>
    <t>Equity Income</t>
  </si>
  <si>
    <t>CRC NI</t>
  </si>
  <si>
    <t>CRC EPS</t>
  </si>
  <si>
    <t>Diluted Shares O/S</t>
  </si>
  <si>
    <r>
      <rPr>
        <i/>
        <u/>
        <sz val="8"/>
        <color theme="1"/>
        <rFont val="Arial"/>
        <family val="2"/>
      </rPr>
      <t>Memo:</t>
    </r>
    <r>
      <rPr>
        <i/>
        <sz val="8"/>
        <color theme="1"/>
        <rFont val="Arial"/>
        <family val="2"/>
      </rPr>
      <t xml:space="preserve"> Non-GAAP EPS</t>
    </r>
  </si>
  <si>
    <t>Revenue Detail</t>
  </si>
  <si>
    <t>LTM Active Buyers (mm)</t>
  </si>
  <si>
    <t>LTM 1P GMV</t>
  </si>
  <si>
    <t>LTM 3P GMV</t>
  </si>
  <si>
    <t>(RMB in millions, unless otherwise noted)</t>
  </si>
  <si>
    <t>LTM GMV (RMB in billions)</t>
  </si>
  <si>
    <t>LTM Spending per Active Buyer</t>
  </si>
  <si>
    <t>LTM 1P Revenue</t>
  </si>
  <si>
    <t>LTM 3P Revenue</t>
  </si>
  <si>
    <t>LTM Revenue</t>
  </si>
  <si>
    <t>LTM Revenue by Type</t>
  </si>
  <si>
    <t>Take Rate</t>
  </si>
  <si>
    <t>Other KPIs</t>
  </si>
  <si>
    <t>LTM Active Merchants</t>
  </si>
  <si>
    <t>Average Monthly Active Users</t>
  </si>
  <si>
    <t>LTM Orders Placed on Pinduoduo Mobile Platform (mm)</t>
  </si>
  <si>
    <t>LTM Orders per Active Buyer</t>
  </si>
  <si>
    <t>LTM Average Order Value</t>
  </si>
  <si>
    <t>Cash Flow Statement</t>
  </si>
  <si>
    <t>Amortization of right-of-use assets</t>
  </si>
  <si>
    <t>Allowance for credit losses</t>
  </si>
  <si>
    <t>Loss on disposal of property and equipment</t>
  </si>
  <si>
    <t>Deferred taxes</t>
  </si>
  <si>
    <t>Foreign exchange gain</t>
  </si>
  <si>
    <t>Share of results of equity investees</t>
  </si>
  <si>
    <t>Fair value change of investments</t>
  </si>
  <si>
    <t>Gain on extinguishment of convertible bond</t>
  </si>
  <si>
    <t>Restricted cash</t>
  </si>
  <si>
    <t>Receivables from online payment platforms</t>
  </si>
  <si>
    <t>Amounts due from related parties</t>
  </si>
  <si>
    <t>Prepayments and other current assets</t>
  </si>
  <si>
    <t>Amounts due to related parties</t>
  </si>
  <si>
    <t>Customer advances</t>
  </si>
  <si>
    <t>Payables to merchants</t>
  </si>
  <si>
    <t>Accrued expenses and other liabilities</t>
  </si>
  <si>
    <t>Merchant deposits</t>
  </si>
  <si>
    <t>Right of use assets</t>
  </si>
  <si>
    <t>Lease liabilities</t>
  </si>
  <si>
    <t>Other non-current assets</t>
  </si>
  <si>
    <t>Other non-current liabilities</t>
  </si>
  <si>
    <t>Proceeds from short-term investments</t>
  </si>
  <si>
    <t>Proceeds from sale of short-term investments</t>
  </si>
  <si>
    <t>Purchase of short-term investments</t>
  </si>
  <si>
    <t>Purchase from a long-term investment</t>
  </si>
  <si>
    <t>Proceeds from disposal of a long-term investment</t>
  </si>
  <si>
    <t>Purchases of available-for-sale investments</t>
  </si>
  <si>
    <t>Purchase of property and equipment</t>
  </si>
  <si>
    <t>Proceeds from disposal of property and equipment</t>
  </si>
  <si>
    <t>Repayment from a related party</t>
  </si>
  <si>
    <t>Loan to third parties, net of repayment</t>
  </si>
  <si>
    <t>Business Acquisition</t>
  </si>
  <si>
    <t>Loan to a related party</t>
  </si>
  <si>
    <t>Deemed distribution</t>
  </si>
  <si>
    <t>Proceeds from issuance of convertible preferred shares</t>
  </si>
  <si>
    <t>Issuance costs</t>
  </si>
  <si>
    <t>Initial public offering costs</t>
  </si>
  <si>
    <t>Proceeds from follow-on offering</t>
  </si>
  <si>
    <t>Proceeds from the private placements</t>
  </si>
  <si>
    <t>Costs incurred for the follow-on offering</t>
  </si>
  <si>
    <t>Proceeds from issuance of convertible bonds</t>
  </si>
  <si>
    <t>Costs incurred for the issuance of convertible bonds</t>
  </si>
  <si>
    <t>Proceeds from short-term borrowings</t>
  </si>
  <si>
    <t>Repayment of short-term borrowings</t>
  </si>
  <si>
    <t>Repurchase of Class B ordinary shares</t>
  </si>
  <si>
    <t>Dividends paid</t>
  </si>
  <si>
    <t>Proceeds from IPO, net of fees</t>
  </si>
  <si>
    <t>Cash Flow from Operating Activities</t>
  </si>
  <si>
    <t>Changes in operating assets and liabilities:</t>
  </si>
  <si>
    <t>Net cash generated from operating activities</t>
  </si>
  <si>
    <t>Cash Flow from Investing Activities</t>
  </si>
  <si>
    <t>Net cash used in investing activities</t>
  </si>
  <si>
    <t>Cash Flow from Financing Activities</t>
  </si>
  <si>
    <t>Net cash generated from/(used in) financing activities</t>
  </si>
  <si>
    <t>Increase/(decrease) in cash, cash equivalents and restricted cash</t>
  </si>
  <si>
    <t>Effect of exchange rate changes on cash, cash equivalents and restricted cash</t>
  </si>
  <si>
    <t>YTD</t>
  </si>
  <si>
    <t>Cash Flow Statement (cont.)</t>
  </si>
  <si>
    <t>Balance Sheet</t>
  </si>
  <si>
    <t>Current Assets</t>
  </si>
  <si>
    <t>Cash and cash equivalents</t>
  </si>
  <si>
    <t>Short-term investments</t>
  </si>
  <si>
    <t>Non-Current Assets</t>
  </si>
  <si>
    <t>Long-term investment</t>
  </si>
  <si>
    <t>Property and equipment, net</t>
  </si>
  <si>
    <t>Intangible asset</t>
  </si>
  <si>
    <t>Deferred tax assets</t>
  </si>
  <si>
    <t>Current Liabilities</t>
  </si>
  <si>
    <t>Payable to merchants</t>
  </si>
  <si>
    <t>Short term borrowings</t>
  </si>
  <si>
    <t>Convertible bond</t>
  </si>
  <si>
    <t>Deferred tax liability</t>
  </si>
  <si>
    <t>Warrant liability</t>
  </si>
  <si>
    <t>Non-Current Liabilities</t>
  </si>
  <si>
    <t>Convertible bonds</t>
  </si>
  <si>
    <t>Deferred tax liabilities</t>
  </si>
  <si>
    <t>Shareholders' Equity</t>
  </si>
  <si>
    <t>Additional paid-in capital</t>
  </si>
  <si>
    <t>Statutory reserves</t>
  </si>
  <si>
    <t>Accumulated other comprehensive loss</t>
  </si>
  <si>
    <t>Retained earnings</t>
  </si>
  <si>
    <t>Total current assets</t>
  </si>
  <si>
    <t>Total non-current assets</t>
  </si>
  <si>
    <t>Total assets</t>
  </si>
  <si>
    <t>Assets</t>
  </si>
  <si>
    <t>Liabilities</t>
  </si>
  <si>
    <t>Total current liabilities</t>
  </si>
  <si>
    <t>Total non-current liabilities</t>
  </si>
  <si>
    <t>Convertible preferred shares</t>
  </si>
  <si>
    <t>Total liabilities</t>
  </si>
  <si>
    <t>Total shareholders' equity</t>
  </si>
  <si>
    <t>Total liabilities &amp; shareholders' equity</t>
  </si>
  <si>
    <t>FCF</t>
  </si>
  <si>
    <t>Depreciation and amortization</t>
  </si>
  <si>
    <t>D&amp;A</t>
  </si>
  <si>
    <t>CRC EBITDA</t>
  </si>
  <si>
    <t>Capex</t>
  </si>
  <si>
    <t>CRC EBITDA - Capex</t>
  </si>
  <si>
    <t>LTM Revenue Detail</t>
  </si>
  <si>
    <t>1P Revenue</t>
  </si>
  <si>
    <t>3P Revenue</t>
  </si>
  <si>
    <t>Total Revenue</t>
  </si>
  <si>
    <t>Online Marketing Services and Other</t>
  </si>
  <si>
    <t>Transaction Services</t>
  </si>
  <si>
    <t>Taxes</t>
  </si>
  <si>
    <t>Recurring FCF</t>
  </si>
  <si>
    <t>Realized FCF</t>
  </si>
  <si>
    <t>Non-GAAP NI Conversion</t>
  </si>
  <si>
    <r>
      <rPr>
        <i/>
        <u/>
        <sz val="8"/>
        <color theme="1"/>
        <rFont val="Arial"/>
        <family val="2"/>
      </rPr>
      <t>Memo:</t>
    </r>
    <r>
      <rPr>
        <i/>
        <sz val="8"/>
        <color theme="1"/>
        <rFont val="Arial"/>
        <family val="2"/>
      </rPr>
      <t xml:space="preserve"> Non-GAAP NI</t>
    </r>
  </si>
  <si>
    <t>Leverage</t>
  </si>
  <si>
    <t>Cash</t>
  </si>
  <si>
    <t>Net Debt</t>
  </si>
  <si>
    <t>Total Debt (incl. Convertible)</t>
  </si>
  <si>
    <r>
      <rPr>
        <i/>
        <u/>
        <sz val="8"/>
        <color theme="1"/>
        <rFont val="Arial"/>
        <family val="2"/>
      </rPr>
      <t>Memo:</t>
    </r>
    <r>
      <rPr>
        <i/>
        <sz val="8"/>
        <color theme="1"/>
        <rFont val="Arial"/>
        <family val="2"/>
      </rPr>
      <t xml:space="preserve"> Net Debt excl. Convert</t>
    </r>
  </si>
  <si>
    <t>Interest, net (excl. Convert Amort.)</t>
  </si>
  <si>
    <t>LTM Online Marketing Services and Other</t>
  </si>
  <si>
    <t>LTM Transaction Services</t>
  </si>
  <si>
    <t>4Q23</t>
  </si>
  <si>
    <t>1Q24</t>
  </si>
  <si>
    <t>2Q24</t>
  </si>
  <si>
    <t>3Q24</t>
  </si>
  <si>
    <t>4Q24</t>
  </si>
  <si>
    <t>Revenue - Online marketing services</t>
  </si>
  <si>
    <t>Revenue - Transaction services</t>
  </si>
  <si>
    <t>Gross profit/(loss) - operating</t>
  </si>
  <si>
    <t>Selling and marketing expenses - operating</t>
  </si>
  <si>
    <t>Research and development expense - operating</t>
  </si>
  <si>
    <t>General and administrative expenses - operating</t>
  </si>
  <si>
    <t>Total adjustments to operating income/(loss)</t>
  </si>
  <si>
    <t>Interest income/(expense), net</t>
  </si>
  <si>
    <t>Total other non-operating income/(expense)</t>
  </si>
  <si>
    <t>Provision/(benefit) for income taxes</t>
  </si>
  <si>
    <t>Share of results of equity</t>
  </si>
  <si>
    <t>ADS Diluted - Shares</t>
  </si>
  <si>
    <t>EPADS-Diluted - Operating</t>
  </si>
  <si>
    <t>Purchases of property, plant and equipment</t>
  </si>
  <si>
    <t>FY23</t>
  </si>
  <si>
    <t>FY24</t>
  </si>
  <si>
    <t>Q/Q % Change</t>
  </si>
  <si>
    <t>Basic EPADS</t>
  </si>
  <si>
    <t>Diliuted EPADS</t>
  </si>
  <si>
    <t>Weighted average basic ADSs oustanding</t>
  </si>
  <si>
    <t>Weighted average diluted ADSs oustanding</t>
  </si>
  <si>
    <t>Non-GAAP diluted EPADS</t>
  </si>
  <si>
    <t>FY25e</t>
  </si>
  <si>
    <t>FY26e</t>
  </si>
  <si>
    <t>FY27e</t>
  </si>
  <si>
    <t>FY28e</t>
  </si>
  <si>
    <t>FY29e</t>
  </si>
  <si>
    <t>FY30e</t>
  </si>
  <si>
    <t>FY31e</t>
  </si>
  <si>
    <t>FY32e</t>
  </si>
  <si>
    <t>FY33e</t>
  </si>
  <si>
    <t>FY34e</t>
  </si>
  <si>
    <t>Opex</t>
  </si>
  <si>
    <t>Adjusted EBITDA</t>
  </si>
  <si>
    <t>EBITDA - Capex</t>
  </si>
  <si>
    <t>Rate %</t>
  </si>
  <si>
    <t>n/m</t>
  </si>
  <si>
    <t>/ LTM Adjusted EBITDA</t>
  </si>
  <si>
    <t>FCFE</t>
  </si>
  <si>
    <t>Cumulative FCFE</t>
  </si>
  <si>
    <t>% of Market Cap</t>
  </si>
  <si>
    <t>Basis Multiples</t>
  </si>
  <si>
    <t>TEV / Revenue</t>
  </si>
  <si>
    <t>TEV / CRC EBITDA</t>
  </si>
  <si>
    <t>TEV / CRC EBITDA - Capex</t>
  </si>
  <si>
    <t>P / E</t>
  </si>
  <si>
    <t>P / Recurring FCF</t>
  </si>
  <si>
    <t>Ten-Year IRR</t>
  </si>
  <si>
    <t>Forward Multiple</t>
  </si>
  <si>
    <t>Terminal Value</t>
  </si>
  <si>
    <t>Total</t>
  </si>
  <si>
    <t>Cash Flows</t>
  </si>
  <si>
    <t>MOIC ==&gt;</t>
  </si>
  <si>
    <t>IRR</t>
  </si>
  <si>
    <t>Capitalization</t>
  </si>
  <si>
    <t>Value</t>
  </si>
  <si>
    <t>TEV</t>
  </si>
  <si>
    <t>Shares</t>
  </si>
  <si>
    <r>
      <rPr>
        <i/>
        <u/>
        <sz val="8"/>
        <color theme="1"/>
        <rFont val="Arial"/>
        <family val="2"/>
      </rPr>
      <t>Memo:</t>
    </r>
    <r>
      <rPr>
        <i/>
        <sz val="8"/>
        <color theme="1"/>
        <rFont val="Arial"/>
        <family val="2"/>
      </rPr>
      <t xml:space="preserve"> ETR</t>
    </r>
  </si>
  <si>
    <t>¥/Share</t>
  </si>
  <si>
    <t>Equity (USD)</t>
  </si>
  <si>
    <t>Net income/(loss) attributable to common stock holders - Operating</t>
  </si>
  <si>
    <t>USDCNY</t>
  </si>
  <si>
    <t>Equity (CNY)</t>
  </si>
  <si>
    <t>Net Debt (excl. Convert)</t>
  </si>
  <si>
    <t>Total Debt (excl. Convert)</t>
  </si>
  <si>
    <t>Simple Model [Case 1]</t>
  </si>
  <si>
    <t>Other Income</t>
  </si>
  <si>
    <t>Interest Expense (Income)</t>
  </si>
  <si>
    <t>PDD China 3P Revenue</t>
  </si>
  <si>
    <t>PDD China 1P Revenue</t>
  </si>
  <si>
    <t>PDD China Revenue</t>
  </si>
  <si>
    <t>PDD Temu Revenue</t>
  </si>
  <si>
    <t>PDD Revenue</t>
  </si>
  <si>
    <t>China Online Retail Sales, Goods</t>
  </si>
  <si>
    <t>PDD China Net GMV</t>
  </si>
  <si>
    <t>PDD China Gross GMV</t>
  </si>
  <si>
    <t>PDD China 1P Gross GMV</t>
  </si>
  <si>
    <t>PDD China 3P Gross GMV</t>
  </si>
  <si>
    <t>China Retail Sales of Consumer Goods, Retail Trade</t>
  </si>
  <si>
    <t>Temu Adjusted EBITDA</t>
  </si>
  <si>
    <t>Employees</t>
  </si>
  <si>
    <t>Sales and marketing</t>
  </si>
  <si>
    <t>Product development</t>
  </si>
  <si>
    <t>Platform operation</t>
  </si>
  <si>
    <t>Management and administration</t>
  </si>
  <si>
    <t>Total employees</t>
  </si>
  <si>
    <t>Equity Issuance/(Repurchase)</t>
  </si>
  <si>
    <t>LTM Gross GMV Build</t>
  </si>
  <si>
    <t>LTM Gross GMV (RMB in billions)</t>
  </si>
  <si>
    <t>LTM Gross GMV by Type</t>
  </si>
  <si>
    <t>LTM 1P Gross GMV</t>
  </si>
  <si>
    <t>LTM 3P Gross GMV</t>
  </si>
  <si>
    <t>TAM / Penetration Analysis [Case 1]</t>
  </si>
  <si>
    <t>China Revenue</t>
  </si>
  <si>
    <t>Temu Revenue</t>
  </si>
  <si>
    <t>China 3P Revenue</t>
  </si>
  <si>
    <t>China 1P Revenue</t>
  </si>
  <si>
    <t>China Adjusted EBITDA</t>
  </si>
  <si>
    <t>Penetration %</t>
  </si>
  <si>
    <t>Online Penetration %</t>
  </si>
  <si>
    <t>Net to Gross Adjustment</t>
  </si>
  <si>
    <t>Take Rate %</t>
  </si>
  <si>
    <t>Nominal GDP</t>
  </si>
  <si>
    <t>Online Market Share %</t>
  </si>
  <si>
    <t>China Gross GMV</t>
  </si>
  <si>
    <t>Temu Gross GMV</t>
  </si>
  <si>
    <t>PDD Gross GMV</t>
  </si>
  <si>
    <t>Sales and Marketing Expenses</t>
  </si>
  <si>
    <t>Advertising expenses</t>
  </si>
  <si>
    <t>Other sales and marketing expenses</t>
  </si>
  <si>
    <t>Total sales and marketing expenses</t>
  </si>
  <si>
    <r>
      <rPr>
        <i/>
        <u/>
        <sz val="8"/>
        <color theme="1"/>
        <rFont val="Arial"/>
        <family val="2"/>
      </rPr>
      <t>Memo:</t>
    </r>
    <r>
      <rPr>
        <i/>
        <sz val="8"/>
        <color theme="1"/>
        <rFont val="Arial"/>
        <family val="2"/>
      </rPr>
      <t xml:space="preserve"> China 3P Take Rate %</t>
    </r>
  </si>
  <si>
    <t>China Net GMV</t>
  </si>
  <si>
    <t>Margin on China Net GMV</t>
  </si>
  <si>
    <t>Actual</t>
  </si>
  <si>
    <t>Variance</t>
  </si>
  <si>
    <t>FY35e</t>
  </si>
  <si>
    <t>Gross GMV</t>
  </si>
  <si>
    <t>1Q17</t>
  </si>
  <si>
    <t>2Q17</t>
  </si>
  <si>
    <t>3Q17</t>
  </si>
  <si>
    <t>4Q17</t>
  </si>
  <si>
    <t>Net GMV Conversion Rate %</t>
  </si>
  <si>
    <t>Net GMV</t>
  </si>
  <si>
    <t>China E-Commerce</t>
  </si>
  <si>
    <t>China CGP</t>
  </si>
  <si>
    <t>Temu</t>
  </si>
  <si>
    <t>FX</t>
  </si>
  <si>
    <t>CNYUSD</t>
  </si>
  <si>
    <t>Start Date</t>
  </si>
  <si>
    <t>End Date</t>
  </si>
  <si>
    <t>Revenue Summary</t>
  </si>
  <si>
    <t>China CGP Revenue</t>
  </si>
  <si>
    <t>China E-Commerce Revenue</t>
  </si>
  <si>
    <r>
      <rPr>
        <i/>
        <u/>
        <sz val="8"/>
        <color theme="1"/>
        <rFont val="Arial"/>
        <family val="2"/>
      </rPr>
      <t>Memo:</t>
    </r>
    <r>
      <rPr>
        <i/>
        <sz val="8"/>
        <color theme="1"/>
        <rFont val="Arial"/>
        <family val="2"/>
      </rPr>
      <t xml:space="preserve"> Temu (USD in billions)</t>
    </r>
  </si>
  <si>
    <t>Consolidated</t>
  </si>
  <si>
    <t>GMV Detail</t>
  </si>
  <si>
    <t>China E-Commerce Gross Take Rate %</t>
  </si>
  <si>
    <t>China CGP Gross Take Rate %</t>
  </si>
  <si>
    <t>Gross Take Rate Detail</t>
  </si>
  <si>
    <t>Temu Gross Take Rate %</t>
  </si>
  <si>
    <t>Net Take Rate Detail</t>
  </si>
  <si>
    <t>China E-Commerce Net Take Rate %</t>
  </si>
  <si>
    <t>China CGP Net Take Rate %</t>
  </si>
  <si>
    <t>Temu Net Take Rate %</t>
  </si>
  <si>
    <t>China CGP Revenue (3P)</t>
  </si>
  <si>
    <t>Temu Revenue (3P)</t>
  </si>
  <si>
    <t>Total Gross GMV (RMB in billions)</t>
  </si>
  <si>
    <t>Total Gross GMV</t>
  </si>
  <si>
    <t>Total Net GMV (RMB in billions)</t>
  </si>
  <si>
    <t>Total Net GMV</t>
  </si>
  <si>
    <t>China 3P Net GMV</t>
  </si>
  <si>
    <t>OMS Revenue / China 3P Net GMV</t>
  </si>
  <si>
    <t>Tax Analysis</t>
  </si>
  <si>
    <t>Temu Non-GAAP EBIT</t>
  </si>
  <si>
    <t>China Non-GAAP EBIT</t>
  </si>
  <si>
    <t>FYE Decemer 31,</t>
  </si>
  <si>
    <t>OMS Revenue</t>
  </si>
  <si>
    <t>Sequential Change</t>
  </si>
  <si>
    <t>Income Tax Expense</t>
  </si>
  <si>
    <t>Operating income/(loss) - Temu</t>
  </si>
  <si>
    <t>Estimated Temu Profitability</t>
  </si>
  <si>
    <t>Profit Detail</t>
  </si>
  <si>
    <t>China Non-GAAP Gross Profit</t>
  </si>
  <si>
    <t>Total Non-GAAP EBIT</t>
  </si>
  <si>
    <t>Temu Non-GAAP Gross Profit</t>
  </si>
  <si>
    <t>Total Non-GAAP Gross Profit</t>
  </si>
  <si>
    <t>Y/Y Incremental Margin</t>
  </si>
  <si>
    <t>China Non-GAAP S&amp;M</t>
  </si>
  <si>
    <t>Temu Non-GAAP S&amp;M</t>
  </si>
  <si>
    <t>Total Non-GAAP S&amp;M</t>
  </si>
  <si>
    <t>China Non-GAAP R&amp;D</t>
  </si>
  <si>
    <t>Temu Non-GAAP R&amp;D</t>
  </si>
  <si>
    <t>Total Non-GAAP R&amp;D</t>
  </si>
  <si>
    <t>China Non-GAAP G&amp;A</t>
  </si>
  <si>
    <t>Temu Non-GAAP G&amp;A</t>
  </si>
  <si>
    <t>Total Non-GAAP G&amp;A</t>
  </si>
  <si>
    <t>Period</t>
  </si>
  <si>
    <t>Date</t>
  </si>
  <si>
    <t>Non-GAAP EBIT
Margin</t>
  </si>
  <si>
    <t>Comments</t>
  </si>
  <si>
    <t>Profit Commentary</t>
  </si>
  <si>
    <r>
      <t xml:space="preserve">Q: And my second question is about the profitability. We noticed that your profitability margin decreased from the last 2 quarters. Given Q4 is the yearly strong quarter in terms of profit, does that mean that you have shifted focus more to growth and what opportunities are you spending actual?
A: Let me take your question on the profitability. And well, </t>
    </r>
    <r>
      <rPr>
        <b/>
        <sz val="8"/>
        <color theme="1"/>
        <rFont val="Arial"/>
        <family val="2"/>
      </rPr>
      <t>we are in our development stage</t>
    </r>
    <r>
      <rPr>
        <sz val="8"/>
        <color theme="1"/>
        <rFont val="Arial"/>
        <family val="2"/>
      </rPr>
      <t xml:space="preserve">. We still see many areas to improve and create more valuable users. </t>
    </r>
    <r>
      <rPr>
        <b/>
        <sz val="8"/>
        <color theme="1"/>
        <rFont val="Arial"/>
        <family val="2"/>
      </rPr>
      <t>We will continue to step up investment</t>
    </r>
    <r>
      <rPr>
        <sz val="8"/>
        <color theme="1"/>
        <rFont val="Arial"/>
        <family val="2"/>
      </rPr>
      <t xml:space="preserve"> in key areas to strengthen our R&amp;D capabilities, support agriculture and manufacturing through technology and improve our service offerings to users and profitability is not our current priority. With that said, </t>
    </r>
    <r>
      <rPr>
        <b/>
        <sz val="8"/>
        <color theme="1"/>
        <rFont val="Arial"/>
        <family val="2"/>
      </rPr>
      <t>we always practice financial prudence for every investmen</t>
    </r>
    <r>
      <rPr>
        <sz val="8"/>
        <color theme="1"/>
        <rFont val="Arial"/>
        <family val="2"/>
      </rPr>
      <t xml:space="preserve">t. We carefully evaluate the ROI and ask ourself if it can create long-term high-quality development for us. </t>
    </r>
    <r>
      <rPr>
        <b/>
        <sz val="8"/>
        <color theme="1"/>
        <rFont val="Arial"/>
        <family val="2"/>
      </rPr>
      <t>When we see good opportunities, we will invest definitely.</t>
    </r>
  </si>
  <si>
    <r>
      <t xml:space="preserve">Q: My second question is, we noticed your profit margin decreased slightly year-on-year. What are some of the key areas you are putting results into? And how should we understand the fluctuation of your profit margin as industry competition further intensified.
A: Well, first, we are still in the development phase. </t>
    </r>
    <r>
      <rPr>
        <b/>
        <sz val="8"/>
        <color theme="1"/>
        <rFont val="Arial"/>
        <family val="2"/>
      </rPr>
      <t>Profitability itself is not our priority.</t>
    </r>
    <r>
      <rPr>
        <sz val="8"/>
        <color theme="1"/>
        <rFont val="Arial"/>
        <family val="2"/>
      </rPr>
      <t xml:space="preserve"> As Jiazhen just mentioned, it's a natural result of the value we create. So with that said, in Q2, we saw different financial results, showing the early results from our high-quality development strategy. And in this process of executing our high-quality development strategy, </t>
    </r>
    <r>
      <rPr>
        <b/>
        <sz val="8"/>
        <color theme="1"/>
        <rFont val="Arial"/>
        <family val="2"/>
      </rPr>
      <t>we are stepping up investment in many key investment areas.</t>
    </r>
    <r>
      <rPr>
        <sz val="8"/>
        <color theme="1"/>
        <rFont val="Arial"/>
        <family val="2"/>
      </rPr>
      <t xml:space="preserve"> For example, giving back to consumers, supporting SME merchants investing with cultural and, manufacturing supply chains and 10 billion Ecosystem Initiative to many [ areas ]. These efforts are reflecting in our financial results. Also, </t>
    </r>
    <r>
      <rPr>
        <b/>
        <sz val="8"/>
        <color theme="1"/>
        <rFont val="Arial"/>
        <family val="2"/>
      </rPr>
      <t>as competition further intensified, we will react positively</t>
    </r>
    <r>
      <rPr>
        <sz val="8"/>
        <color theme="1"/>
        <rFont val="Arial"/>
        <family val="2"/>
      </rPr>
      <t xml:space="preserve"> by enhancing our board savings and better service core capabilities and giving back to our consumers and merchants. I'll now go to high-quality developments. </t>
    </r>
    <r>
      <rPr>
        <b/>
        <sz val="8"/>
        <color theme="1"/>
        <rFont val="Arial"/>
        <family val="2"/>
      </rPr>
      <t>When we see opportunities to create long-term value, we will continue to exercise financial prudence and invest with determination.</t>
    </r>
  </si>
  <si>
    <r>
      <t xml:space="preserve">Q: And my second question is about profitability. We have delivered profitability for 6 quarters in a row. We have also noticed that many of your peers have started to focus more on cost control and efficiency improvement. So does your profitability for the past 3 quarters mean you have started to pursue a similar strategy? And should we expect a similar level of profitability to continue over the next few quarters?
A: I will take your second question about our profitability. Well, first of all, I would like to point out the </t>
    </r>
    <r>
      <rPr>
        <b/>
        <sz val="8"/>
        <color rgb="FFFF0000"/>
        <rFont val="Arial"/>
        <family val="2"/>
      </rPr>
      <t>high profitability level for Q3 is unlikely to continue</t>
    </r>
    <r>
      <rPr>
        <sz val="8"/>
        <color theme="1"/>
        <rFont val="Arial"/>
        <family val="2"/>
      </rPr>
      <t xml:space="preserve">. Over the past quarter, some of our projects such as a few agriculture-related projects, as I just mentioned in my remarks, were impacted in terms of project time line and investment pace. So the expenses line items on our quarterly results were affected. And on the other hand, our quarterly revenue increased as a result of increased merchant activities. Therefore, profitability is partially due to such time lapse. And this shows that our business cycle and financial reporting cycle are not always in sync. </t>
    </r>
    <r>
      <rPr>
        <b/>
        <sz val="8"/>
        <color theme="1"/>
        <rFont val="Arial"/>
        <family val="2"/>
      </rPr>
      <t>We think such profitability level may not be sustainable.</t>
    </r>
    <r>
      <rPr>
        <sz val="8"/>
        <color theme="1"/>
        <rFont val="Arial"/>
        <family val="2"/>
      </rPr>
      <t xml:space="preserve"> In addition, </t>
    </r>
    <r>
      <rPr>
        <b/>
        <sz val="8"/>
        <color theme="1"/>
        <rFont val="Arial"/>
        <family val="2"/>
      </rPr>
      <t>we are still in the development stage, and profitability is not our current priority. We will continue to step up investments</t>
    </r>
    <r>
      <rPr>
        <sz val="8"/>
        <color theme="1"/>
        <rFont val="Arial"/>
        <family val="2"/>
      </rPr>
      <t xml:space="preserve">, especially to support agriculture and manufacturing industry through technology. And </t>
    </r>
    <r>
      <rPr>
        <b/>
        <sz val="8"/>
        <color theme="1"/>
        <rFont val="Arial"/>
        <family val="2"/>
      </rPr>
      <t xml:space="preserve">this may cause fluctuations in our future profitability, and the </t>
    </r>
    <r>
      <rPr>
        <b/>
        <sz val="8"/>
        <color rgb="FFFF0000"/>
        <rFont val="Arial"/>
        <family val="2"/>
      </rPr>
      <t>Q3 level will not continue</t>
    </r>
    <r>
      <rPr>
        <b/>
        <sz val="8"/>
        <rFont val="Arial"/>
        <family val="2"/>
      </rPr>
      <t>.</t>
    </r>
  </si>
  <si>
    <r>
      <t xml:space="preserve">Q: My second question is on the shareholder return and margin. In fourth quarter, the company achieved a decent profitability against the best drop of intensified competition and rapid growth of your global business. Can management share your view of how we should think about the margin in 2024 and going forward?
A: Well, regarding profitability, we always emphasize though </t>
    </r>
    <r>
      <rPr>
        <b/>
        <sz val="8"/>
        <color theme="1"/>
        <rFont val="Arial"/>
        <family val="2"/>
      </rPr>
      <t>we are still in the development stage</t>
    </r>
    <r>
      <rPr>
        <sz val="8"/>
        <color theme="1"/>
        <rFont val="Arial"/>
        <family val="2"/>
      </rPr>
      <t xml:space="preserve">. </t>
    </r>
    <r>
      <rPr>
        <b/>
        <sz val="8"/>
        <color theme="1"/>
        <rFont val="Arial"/>
        <family val="2"/>
      </rPr>
      <t>Profitability is not our priority.</t>
    </r>
    <r>
      <rPr>
        <sz val="8"/>
        <color theme="1"/>
        <rFont val="Arial"/>
        <family val="2"/>
      </rPr>
      <t xml:space="preserve"> Considering our current stage of development, our strategic focus remains on the high-quality development of the platform. So we will focus on building the platform's long-term value, which is consistent with the interest of our investors. Over the past years, guided by our strategy of high-quality development. We have made some investments in a few key areas. For example, we have continued to give back to consumers to deepen our mind share. We also remain committed to R&amp;D, which R&amp;D exceeding RMB 10 billion for the second consecutive year. This investment have yielded favorable initial returns. Moving forward, </t>
    </r>
    <r>
      <rPr>
        <b/>
        <sz val="8"/>
        <color theme="1"/>
        <rFont val="Arial"/>
        <family val="2"/>
      </rPr>
      <t>we will continue to make a decisive and patient investments where we see long-term ROI potential</t>
    </r>
    <r>
      <rPr>
        <sz val="8"/>
        <color theme="1"/>
        <rFont val="Arial"/>
        <family val="2"/>
      </rPr>
      <t xml:space="preserve">. And our </t>
    </r>
    <r>
      <rPr>
        <b/>
        <sz val="8"/>
        <color theme="1"/>
        <rFont val="Arial"/>
        <family val="2"/>
      </rPr>
      <t>business execution cycle is affected by various factors and may not align with our financial reporting cycle. Profitability on a quarterly basis, we are in eligibly fluctuate based on the different investment opportunities we identify</t>
    </r>
    <r>
      <rPr>
        <sz val="8"/>
        <color theme="1"/>
        <rFont val="Arial"/>
        <family val="2"/>
      </rPr>
      <t xml:space="preserve">. So the financial </t>
    </r>
    <r>
      <rPr>
        <b/>
        <sz val="8"/>
        <color theme="1"/>
        <rFont val="Arial"/>
        <family val="2"/>
      </rPr>
      <t xml:space="preserve">results in </t>
    </r>
    <r>
      <rPr>
        <b/>
        <sz val="8"/>
        <color rgb="FFFFC000"/>
        <rFont val="Arial"/>
        <family val="2"/>
      </rPr>
      <t>Q4 may not serve as a benchmark for future quarters</t>
    </r>
    <r>
      <rPr>
        <b/>
        <sz val="8"/>
        <rFont val="Arial"/>
        <family val="2"/>
      </rPr>
      <t>.</t>
    </r>
  </si>
  <si>
    <r>
      <t xml:space="preserve">To conclude, </t>
    </r>
    <r>
      <rPr>
        <b/>
        <sz val="8"/>
        <color theme="1"/>
        <rFont val="Arial"/>
        <family val="2"/>
      </rPr>
      <t>profitability in the past quarter was mainly attributable to a few short-term factors that may not reappear in the future</t>
    </r>
    <r>
      <rPr>
        <sz val="8"/>
        <color theme="1"/>
        <rFont val="Arial"/>
        <family val="2"/>
      </rPr>
      <t xml:space="preserve">. First, we saw good user engagement during the past quarter. As competition remains intense, we're not sure whether such engagement momentum will continue. Second, project performance and lower business-related activities affected our overall expenses in Q2. We view this factor just mostly temporary in nature. In fact, we incurred higher expenses in the second half of Q2 when things return to normal. Therefore, given that progress in the second quarter are mainly due to a combination of several short-term factors, </t>
    </r>
    <r>
      <rPr>
        <b/>
        <sz val="8"/>
        <color rgb="FFFF0000"/>
        <rFont val="Arial"/>
        <family val="2"/>
      </rPr>
      <t>we do not expect profitability in the past quarter to serve as a benchmark for future quarters</t>
    </r>
    <r>
      <rPr>
        <b/>
        <sz val="8"/>
        <rFont val="Arial"/>
        <family val="2"/>
      </rPr>
      <t>.</t>
    </r>
    <r>
      <rPr>
        <sz val="8"/>
        <color theme="1"/>
        <rFont val="Arial"/>
        <family val="2"/>
      </rPr>
      <t xml:space="preserve">
---
Q: And my second question is about our profitability. Given the second quarter earnings comes in better than expected market expectations, how should we think about the profitability trend in the second half?
A: For your second question about profit. Well, as mentioned before, we have not changed our strategy to the focus on profitability. So for the past quarter alone, </t>
    </r>
    <r>
      <rPr>
        <b/>
        <sz val="8"/>
        <color theme="1"/>
        <rFont val="Arial"/>
        <family val="2"/>
      </rPr>
      <t>our profitability was mainly attributable to a number of external factors, which are mostly short term or 1 of nature</t>
    </r>
    <r>
      <rPr>
        <sz val="8"/>
        <color theme="1"/>
        <rFont val="Arial"/>
        <family val="2"/>
      </rPr>
      <t xml:space="preserve">. On the revenue side, we saw a good level of user engagement and consumption, which are mostly boosted by consumption recovery. At the same time, we still face very intense competition. For the expense side, factors such as project delays and decrease in business-related activities [indiscernible] to the short-term impact in our Q2 expenses. And to sum up, </t>
    </r>
    <r>
      <rPr>
        <b/>
        <sz val="8"/>
        <color rgb="FFFF0000"/>
        <rFont val="Arial"/>
        <family val="2"/>
      </rPr>
      <t>this quarter's profitability is due to short-term factors combined. So it is not a good benchmark for future reference</t>
    </r>
    <r>
      <rPr>
        <sz val="8"/>
        <rFont val="Arial"/>
        <family val="2"/>
      </rPr>
      <t>.</t>
    </r>
    <r>
      <rPr>
        <sz val="8"/>
        <color theme="1"/>
        <rFont val="Arial"/>
        <family val="2"/>
      </rPr>
      <t xml:space="preserve"> And this is our view on profitability.</t>
    </r>
  </si>
  <si>
    <r>
      <t xml:space="preserve">Q: And the second question actually is about your profitability. I think if I remember correctly, the -- this is the first time that we have seen a very meaningful the profitability for PDD on quarterly basis. And the non-GAAP net margin is 18%. That's very impressive. So given that our business model has been more and more mature, should we expect that -- the profitability pattern in this quarter to be more stable going forward and is more expected going forward?
A: And coming to your second question on the profitability. And our profit in this quarter was mainly attributable to the operating leverage from the sales and marketing expenses, as I just stated in the remarks, due to the seasonality. It is a unique quarter as Q2 is typically a low season for us with less sales and marketing spending. And </t>
    </r>
    <r>
      <rPr>
        <b/>
        <sz val="8"/>
        <color theme="1"/>
        <rFont val="Arial"/>
        <family val="2"/>
      </rPr>
      <t>we do not think that this quarter's profitability should be an indicator or a reference for our future investment in user mindshare and as well as the agri-focused infrastructure</t>
    </r>
    <r>
      <rPr>
        <sz val="8"/>
        <color theme="1"/>
        <rFont val="Arial"/>
        <family val="2"/>
      </rPr>
      <t xml:space="preserve">. </t>
    </r>
    <r>
      <rPr>
        <b/>
        <sz val="8"/>
        <color theme="1"/>
        <rFont val="Arial"/>
        <family val="2"/>
      </rPr>
      <t xml:space="preserve">We are seeing more investment coming in the coming quarter. And as we invest more into agriculture, </t>
    </r>
    <r>
      <rPr>
        <b/>
        <sz val="8"/>
        <color rgb="FFFF0000"/>
        <rFont val="Arial"/>
        <family val="2"/>
      </rPr>
      <t>we do not expect profitability to continue</t>
    </r>
    <r>
      <rPr>
        <b/>
        <sz val="8"/>
        <color theme="1"/>
        <rFont val="Arial"/>
        <family val="2"/>
      </rPr>
      <t>.</t>
    </r>
    <r>
      <rPr>
        <sz val="8"/>
        <color theme="1"/>
        <rFont val="Arial"/>
        <family val="2"/>
      </rPr>
      <t xml:space="preserve"> And let me just add one more comment on this. We will keep maintaining the 0 commission policy on our agriculture produce to help more farmers and agri merchants, and this type of investment will continue.</t>
    </r>
  </si>
  <si>
    <r>
      <t>Q: This is also the second consecutive quarter that your company is showing both non-GAAP and GAAP profit. Just wondering, are you prioritizing profitability over growth going forward? And should the investors expect full year profitability for 2021 and going onwards as well?
A: Natalie, coming back to your question regarding the consecutive being profitable for the past 2 quarters, the main contribution of our profitability in the past 2 quarters is deleverage efforts from sales and marketing expenses showing a decline in percentage of revenue. But for us, the profitability is not any team's KPI internally. We are more focused on the long-term investment to address users' fundamental needs. As we have been communicating with the market, to us, investment into sales and marketing is similar in nature to capital expenditure which crystallize as user mindshare and long-term assets for us. So this is a strategy that we have been digitally executing for the first 5 years and an area where we will continue to practice financial prudence. It is worth highlighting that w</t>
    </r>
    <r>
      <rPr>
        <b/>
        <sz val="8"/>
        <color theme="1"/>
        <rFont val="Arial"/>
        <family val="2"/>
      </rPr>
      <t>e are shifting our focus and investments towards R&amp;D</t>
    </r>
    <r>
      <rPr>
        <sz val="8"/>
        <color theme="1"/>
        <rFont val="Arial"/>
        <family val="2"/>
      </rPr>
      <t xml:space="preserve"> and expect to step up our investment there to lay the foundation for the solid long-term growth. As a result, </t>
    </r>
    <r>
      <rPr>
        <b/>
        <sz val="8"/>
        <color theme="1"/>
        <rFont val="Arial"/>
        <family val="2"/>
      </rPr>
      <t>we will expect R&amp;D expenses to increase going forward.</t>
    </r>
  </si>
  <si>
    <r>
      <t>Q: And my second question is, PDD has delivered another quarter of strong profit. Can you share with us how management team are looking at the balance between profitability and growth? Are we seeing a pivot in strategic priority? Also should investors expect future -- how should we expect the future profitability trend? And how much was the onetime rebate that contributed to this quarter's higher profitability?
A: For second question, which is about profitability, well, I would like to point out that we're not changing our strategy to focus on profitability. This quarter's higher profit was due to one-off rebate, as mentioned before, and controlled spending in the face of slower growth. To further elaborate, first, we are -- as we encounter slow growth and concurrently making adjustments, we are taking a cautious approach and proactively controlling our expenses. On top of this, portion of this quarter's profit was due to cost and expense reduction related to a one-off rebate from our service provider. And this one-off rebate has resulted in lower cost and expenses and higher profitability in the quarter. But</t>
    </r>
    <r>
      <rPr>
        <b/>
        <sz val="8"/>
        <color theme="1"/>
        <rFont val="Arial"/>
        <family val="2"/>
      </rPr>
      <t xml:space="preserve"> if we strip out the one-off rebate, costs and expenses will be higher than the reported number, and profitability in the quarter will also be lower</t>
    </r>
    <r>
      <rPr>
        <sz val="8"/>
        <color theme="1"/>
        <rFont val="Arial"/>
        <family val="2"/>
      </rPr>
      <t xml:space="preserve">. And second, as competition intensifies and user demand becomes more diversified, </t>
    </r>
    <r>
      <rPr>
        <b/>
        <sz val="8"/>
        <color theme="1"/>
        <rFont val="Arial"/>
        <family val="2"/>
      </rPr>
      <t>we do expect continued investment in agriculture and core technology, which will result in higher expense line items, hence, impacting profitability</t>
    </r>
    <r>
      <rPr>
        <sz val="8"/>
        <color theme="1"/>
        <rFont val="Arial"/>
        <family val="2"/>
      </rPr>
      <t>. And in your question, you also emphasized the rebate. Well, I think the one-off rebates, yes, [ they're being ] one-off nature, it is based on a case-by-case negotiation with our service providers, we do not expect it will recur in the future. And for the amounts, due to confidentiality obligation with the service provider, we could not comment on the specific amounts. But what we can say is that it contributed a meaningful portion of this quarter's profit.</t>
    </r>
  </si>
  <si>
    <r>
      <t xml:space="preserve">Q: And then the next is about the margin. We've noticed that your margin decreased on a year-over-year and quarter-over-quarter basis. What are some of the key investment areas that you're putting your resources into? Is this related to the competition? How is your global business impacting your profitability? And how should we think about the trend for the margin in the next few quarters?
A: I will answer your question about profitability. First and foremost, </t>
    </r>
    <r>
      <rPr>
        <b/>
        <sz val="8"/>
        <color theme="1"/>
        <rFont val="Arial"/>
        <family val="2"/>
      </rPr>
      <t>we are still in the development phase.</t>
    </r>
    <r>
      <rPr>
        <sz val="8"/>
        <color theme="1"/>
        <rFont val="Arial"/>
        <family val="2"/>
      </rPr>
      <t xml:space="preserve"> </t>
    </r>
    <r>
      <rPr>
        <b/>
        <sz val="8"/>
        <color theme="1"/>
        <rFont val="Arial"/>
        <family val="2"/>
      </rPr>
      <t>Profitability in the short run is not our priority.</t>
    </r>
    <r>
      <rPr>
        <sz val="8"/>
        <color theme="1"/>
        <rFont val="Arial"/>
        <family val="2"/>
      </rPr>
      <t xml:space="preserve"> Instead, our team is focused on executing our high-quality development strategy, which we hope will increase the value of the platform in the long run. In the past quarter, guided by the high-quality development strategy, </t>
    </r>
    <r>
      <rPr>
        <b/>
        <sz val="8"/>
        <color theme="1"/>
        <rFont val="Arial"/>
        <family val="2"/>
      </rPr>
      <t>we step up our investment in key areas such as promotion activities and service upgrades</t>
    </r>
    <r>
      <rPr>
        <sz val="8"/>
        <color theme="1"/>
        <rFont val="Arial"/>
        <family val="2"/>
      </rPr>
      <t xml:space="preserve"> to deepen our more savings and better services for merchants. We also further built on our supply chain capabilities and ecosystem improvements. We are seeing encouraging results from our execution. And </t>
    </r>
    <r>
      <rPr>
        <b/>
        <sz val="8"/>
        <color theme="1"/>
        <rFont val="Arial"/>
        <family val="2"/>
      </rPr>
      <t>we continue to invest firmly when we see good ROI potential</t>
    </r>
    <r>
      <rPr>
        <sz val="8"/>
        <color theme="1"/>
        <rFont val="Arial"/>
        <family val="2"/>
      </rPr>
      <t xml:space="preserve">. In terms of future trends, </t>
    </r>
    <r>
      <rPr>
        <b/>
        <sz val="8"/>
        <color theme="1"/>
        <rFont val="Arial"/>
        <family val="2"/>
      </rPr>
      <t xml:space="preserve">we operate in a fast-paced market environment where investment opportunities change on a daily basis. Because of this, our business execution will not match the financial reporting schedule. And going forward, our </t>
    </r>
    <r>
      <rPr>
        <b/>
        <sz val="8"/>
        <color rgb="FFFFC000"/>
        <rFont val="Arial"/>
        <family val="2"/>
      </rPr>
      <t>profitability may continue to fluctuate on a quarterly basis</t>
    </r>
    <r>
      <rPr>
        <b/>
        <sz val="8"/>
        <color theme="1"/>
        <rFont val="Arial"/>
        <family val="2"/>
      </rPr>
      <t xml:space="preserve">. </t>
    </r>
  </si>
  <si>
    <r>
      <t xml:space="preserve">Q: And [indiscernible] we noticed that your profitability margin this quarter is another sequential decrease. Just wondering what are the major reasons behind? Is it because of the seasonality or competition? Does it mean that you are now actively spending [indiscernible]?
A: I will address your question on profitability. Well, as just Lei pointed out, we have very clear long-term strategies, and we see many areas to further improve. We're executing these strategies with determination. We will continue to nurture the development of healthy, more savings and better services platform ecosystem. We firmly believe our patient investment can generate value for consumers, sellers and the platform ecosystem. Feedback from consumers and sellers also make us more determined in seeking quality development. So </t>
    </r>
    <r>
      <rPr>
        <b/>
        <sz val="8"/>
        <color theme="1"/>
        <rFont val="Arial"/>
        <family val="2"/>
      </rPr>
      <t>we plan to further step up our long-term investment.</t>
    </r>
    <r>
      <rPr>
        <sz val="8"/>
        <color theme="1"/>
        <rFont val="Arial"/>
        <family val="2"/>
      </rPr>
      <t xml:space="preserve"> For example, we are launching our 10 b Ecosystem Initiative to support quality sellers and improve our overall platform ecosystem. </t>
    </r>
    <r>
      <rPr>
        <b/>
        <sz val="8"/>
        <color theme="1"/>
        <rFont val="Arial"/>
        <family val="2"/>
      </rPr>
      <t xml:space="preserve">As we deepen our efforts our profitability level decreased in the past 2 quarters on a quarter-to-quarter basis. We think </t>
    </r>
    <r>
      <rPr>
        <b/>
        <sz val="8"/>
        <color rgb="FFFFC000"/>
        <rFont val="Arial"/>
        <family val="2"/>
      </rPr>
      <t>it is normal for profitability to fluctuate between quarters</t>
    </r>
    <r>
      <rPr>
        <b/>
        <sz val="8"/>
        <color theme="1"/>
        <rFont val="Arial"/>
        <family val="2"/>
      </rPr>
      <t>.</t>
    </r>
  </si>
  <si>
    <r>
      <t xml:space="preserve">Q: And my second question is regarding the profitability. You have delivered meaningful process on both GAAP and non-GAAP basis for 4 consecutive quarters. Just wondering at current stage, are you now prioritizing probability of a growth? Should investors expect our quarterly earnings to be the norm?
A: Well, thanks for your second question about profitability. First, I would like to point out -- just note, our current priority and over the past few quarters, </t>
    </r>
    <r>
      <rPr>
        <b/>
        <sz val="8"/>
        <color theme="1"/>
        <rFont val="Arial"/>
        <family val="2"/>
      </rPr>
      <t>our profits will remain due to our operating leverage</t>
    </r>
    <r>
      <rPr>
        <sz val="8"/>
        <color theme="1"/>
        <rFont val="Arial"/>
        <family val="2"/>
      </rPr>
      <t xml:space="preserve">, especially from sales and marketing. And as mentioned last quarter, we have also controlled our spending in the face of slower growth. And under current intensified competition, we also see we still have many room to improve in terms of certifying users. The reasons pandemic also shows that. </t>
    </r>
    <r>
      <rPr>
        <b/>
        <sz val="8"/>
        <color theme="1"/>
        <rFont val="Arial"/>
        <family val="2"/>
      </rPr>
      <t xml:space="preserve">So we need to step up our investments and it </t>
    </r>
    <r>
      <rPr>
        <b/>
        <sz val="8"/>
        <color rgb="FFFFC000"/>
        <rFont val="Arial"/>
        <family val="2"/>
      </rPr>
      <t>may cause our quarterly profit to fluctuate in the future</t>
    </r>
    <r>
      <rPr>
        <b/>
        <sz val="8"/>
        <color theme="1"/>
        <rFont val="Arial"/>
        <family val="2"/>
      </rPr>
      <t>.</t>
    </r>
    <r>
      <rPr>
        <sz val="8"/>
        <color theme="1"/>
        <rFont val="Arial"/>
        <family val="2"/>
      </rPr>
      <t xml:space="preserve"> As you may see, this quarter's profit has decreased sequentially versus last quarter. Meanwhile, the profitability over past few quarters also gives us greater confidence to continue our long-term investments. We hope that everyone will focus more on the value we generate.</t>
    </r>
  </si>
  <si>
    <t>Revenue</t>
  </si>
  <si>
    <t>China 3P Non-GAAP Gross Profit</t>
  </si>
  <si>
    <t>China 1P Non-GAAP Gross Profit</t>
  </si>
  <si>
    <t>China E-Commerce Non-GAAP Gross Profit</t>
  </si>
  <si>
    <t>China CGP Non-GAAP Gross Profit</t>
  </si>
  <si>
    <t>Q/Q Incremental Margin</t>
  </si>
  <si>
    <t>TEV / Gross Profit (China 3P Rev x 80%)</t>
  </si>
  <si>
    <t>Sales, marketing and fulfillment</t>
  </si>
  <si>
    <t>Proceeds from available-for-sale debt securities</t>
  </si>
  <si>
    <t>Repurchase of convertible bonds</t>
  </si>
  <si>
    <t>Ordinary shares</t>
  </si>
  <si>
    <t>CRC</t>
  </si>
  <si>
    <t>Consensus</t>
  </si>
  <si>
    <t>Operating income/(loss) - Operating</t>
  </si>
  <si>
    <t>FY25</t>
  </si>
  <si>
    <t>CRC vs. Consensus</t>
  </si>
  <si>
    <r>
      <rPr>
        <i/>
        <u/>
        <sz val="8"/>
        <color theme="1"/>
        <rFont val="Arial"/>
        <family val="2"/>
      </rPr>
      <t>Memo:</t>
    </r>
    <r>
      <rPr>
        <i/>
        <sz val="8"/>
        <color theme="1"/>
        <rFont val="Arial"/>
        <family val="2"/>
      </rPr>
      <t xml:space="preserve"> P / E (Consensus)</t>
    </r>
  </si>
  <si>
    <t>FY2024</t>
  </si>
  <si>
    <t>FY2025</t>
  </si>
  <si>
    <t>FY2026</t>
  </si>
  <si>
    <t>Notes</t>
  </si>
  <si>
    <t>(1) Assumes 20% growth in China non-OMS and 0% growth in Temu revenue in FY25.</t>
  </si>
  <si>
    <r>
      <t>Transaction Services</t>
    </r>
    <r>
      <rPr>
        <vertAlign val="superscript"/>
        <sz val="8"/>
        <color theme="1"/>
        <rFont val="Arial"/>
        <family val="2"/>
      </rPr>
      <t>1</t>
    </r>
  </si>
  <si>
    <r>
      <t xml:space="preserve">We have communicated for a number of occasions that profit growth in the past few quarters should not be used as a long-term guidance. And it is a result of mismatch between the business investment and the financial reporting cycles. As we enter a new investment in the phase, I would like to make it clear to our investors that </t>
    </r>
    <r>
      <rPr>
        <b/>
        <sz val="8"/>
        <color rgb="FFFF0000"/>
        <rFont val="Arial"/>
        <family val="2"/>
      </rPr>
      <t>our profits will gradually trend down starting in Q3</t>
    </r>
    <r>
      <rPr>
        <b/>
        <sz val="8"/>
        <color theme="1"/>
        <rFont val="Arial"/>
        <family val="2"/>
      </rPr>
      <t>, and there will be such or rebounds in the short term. In the long run, the decline in profitability is inevitable.</t>
    </r>
    <r>
      <rPr>
        <sz val="8"/>
        <color theme="1"/>
        <rFont val="Arial"/>
        <family val="2"/>
      </rPr>
      <t xml:space="preserve">
---
On the supply side, we will invest substantial resources to support high-quality merchants who are willing to innovate and improve qualities. And </t>
    </r>
    <r>
      <rPr>
        <b/>
        <sz val="8"/>
        <color rgb="FFFF0000"/>
        <rFont val="Arial"/>
        <family val="2"/>
      </rPr>
      <t>we will offer significant transaction fee reductions to these merchants, with an initial target of 10 billion in the first year.</t>
    </r>
    <r>
      <rPr>
        <sz val="8"/>
        <color theme="1"/>
        <rFont val="Arial"/>
        <family val="2"/>
      </rPr>
      <t xml:space="preserve"> By doing so, our goals to provide clear incentives for the merchants to join high-quality development. On the other hand, we will further deepen our trust and safety capabilities to improve our merchant ecosystem and strengthen our supply chain. We are actively identifying and removing a lot of actors from our platforms, and we will continue to strengthen these efforts. At the moment, we have already started a new round of investments in operations and R&amp;D to streamline the merchant onboarding and product listing process. Leveraging technology, we will gradually improve the quality of our products sold on our platforms and create a fair and transparent business environment for our merchants. In this process,</t>
    </r>
    <r>
      <rPr>
        <b/>
        <sz val="8"/>
        <color theme="1"/>
        <rFont val="Arial"/>
        <family val="2"/>
      </rPr>
      <t xml:space="preserve"> we believe that sacrificing short-term profit is [indiscernible].</t>
    </r>
    <r>
      <rPr>
        <b/>
        <sz val="8"/>
        <color rgb="FFFF0000"/>
        <rFont val="Arial"/>
        <family val="2"/>
      </rPr>
      <t xml:space="preserve"> A clear downward trend in profit is expected</t>
    </r>
    <r>
      <rPr>
        <b/>
        <sz val="8"/>
        <color theme="1"/>
        <rFont val="Arial"/>
        <family val="2"/>
      </rPr>
      <t xml:space="preserve"> but we are prepared to invest firmly and tacitly in the platform's long-term health.</t>
    </r>
    <r>
      <rPr>
        <sz val="8"/>
        <color theme="1"/>
        <rFont val="Arial"/>
        <family val="2"/>
      </rPr>
      <t xml:space="preserve"> This is a decision that has received unanimous support from all our management team.
---
We have communicated on a number of occasions that </t>
    </r>
    <r>
      <rPr>
        <b/>
        <sz val="8"/>
        <color theme="1"/>
        <rFont val="Arial"/>
        <family val="2"/>
      </rPr>
      <t>profit growth in the past few quarters should not be used as long-term guidance.</t>
    </r>
    <r>
      <rPr>
        <sz val="8"/>
        <color theme="1"/>
        <rFont val="Arial"/>
        <family val="2"/>
      </rPr>
      <t xml:space="preserve"> And it was a result of the mismatch between the business investment and financial reporting cycle. In addition, our business is currently facing intense competition and shifting external factors, which will inevitably bring fluctuations to our business and also slow down our top line growth. We are now entering a new phase of a steady transformation towards high-quality development. And we need to invest patiently in the platform's long-term health. And to support a sustainable development of our platform ecosystem, </t>
    </r>
    <r>
      <rPr>
        <b/>
        <sz val="8"/>
        <color theme="1"/>
        <rFont val="Arial"/>
        <family val="2"/>
      </rPr>
      <t>we will invest substantial resources over the next 12 months to support highquality merchants.</t>
    </r>
    <r>
      <rPr>
        <sz val="8"/>
        <color theme="1"/>
        <rFont val="Arial"/>
        <family val="2"/>
      </rPr>
      <t xml:space="preserve"> And looking ahead, </t>
    </r>
    <r>
      <rPr>
        <b/>
        <sz val="8"/>
        <color rgb="FFFFC000"/>
        <rFont val="Arial"/>
        <family val="2"/>
      </rPr>
      <t>our profitability may fluctuate in the short run</t>
    </r>
    <r>
      <rPr>
        <sz val="8"/>
        <color theme="1"/>
        <rFont val="Arial"/>
        <family val="2"/>
      </rPr>
      <t xml:space="preserve">, but </t>
    </r>
    <r>
      <rPr>
        <b/>
        <sz val="8"/>
        <color rgb="FFFF0000"/>
        <rFont val="Arial"/>
        <family val="2"/>
      </rPr>
      <t xml:space="preserve">directionally, it will gradually enter a downward trend. </t>
    </r>
    <r>
      <rPr>
        <sz val="8"/>
        <color theme="1"/>
        <rFont val="Arial"/>
        <family val="2"/>
      </rPr>
      <t xml:space="preserve">And empowering and supporting merchants is crucial to building our high-quality supply chain and also creating a robust platform ecosystem. Over the long run, this will start off a virtuous cycle for the platform. And therefore, </t>
    </r>
    <r>
      <rPr>
        <b/>
        <sz val="8"/>
        <color theme="1"/>
        <rFont val="Arial"/>
        <family val="2"/>
      </rPr>
      <t>we will remain committed to patient investments even though short-term profits will be affected.</t>
    </r>
  </si>
  <si>
    <t>3Q25e</t>
  </si>
  <si>
    <t>4Q25e</t>
  </si>
  <si>
    <t>1Q25e</t>
  </si>
  <si>
    <t>2Q25e</t>
  </si>
  <si>
    <t>% of Net GMV</t>
  </si>
  <si>
    <r>
      <t xml:space="preserve">Q: I have 2 questions, the first is on profitability. The company can still achieve profitability growth in the first quarter despite intensified competition. We are also seeing good operating leverage in terms of sales and marketing expenses. Does it mean the company is slowing down the investment in marketing? More broadly, can management talk about your plan in resources allocation?
A: Thanks for your question. This is Jun. Let me first answer your question about profitability. Well, regarding profitability, we mentioned in our prepared remarks that the company's business does not follow a linear path. it will beat market expectation in some quarters and miss expectation in others. </t>
    </r>
    <r>
      <rPr>
        <b/>
        <sz val="8"/>
        <color theme="1"/>
        <rFont val="Arial"/>
        <family val="2"/>
      </rPr>
      <t xml:space="preserve">We suggest investors not to forecast our future growth completely based on results from few quarters. </t>
    </r>
    <r>
      <rPr>
        <sz val="8"/>
        <color theme="1"/>
        <rFont val="Arial"/>
        <family val="2"/>
      </rPr>
      <t xml:space="preserve">We always focus on the long-term growth of the company's intrinsic value and will not [ smooth out ] short-term financial data. In business execution, while we're compelled to return of investment in different markets and make prudent plans for resources allocation, we will not increase or decrease in expense items solely based on a preset budget. The company's investment in each quarter depends on the specific investment opportunities we see in the market. Currently, we are still in a growth phase. </t>
    </r>
    <r>
      <rPr>
        <b/>
        <sz val="8"/>
        <color theme="1"/>
        <rFont val="Arial"/>
        <family val="2"/>
      </rPr>
      <t>If we see value-creation opportunities in the future, we will investment [indiscernible]. These investments marked bring fluctuations to short-term profitability, but will help us grow intrinsic value in the long run.</t>
    </r>
    <r>
      <rPr>
        <sz val="8"/>
        <color theme="1"/>
        <rFont val="Arial"/>
        <family val="2"/>
      </rPr>
      <t xml:space="preserve"> This is our view on profitability. Thank you.</t>
    </r>
  </si>
  <si>
    <t>Low</t>
  </si>
  <si>
    <t>High</t>
  </si>
  <si>
    <r>
      <rPr>
        <i/>
        <u/>
        <sz val="8"/>
        <color theme="1"/>
        <rFont val="Arial"/>
        <family val="2"/>
      </rPr>
      <t>Memo:</t>
    </r>
    <r>
      <rPr>
        <i/>
        <sz val="8"/>
        <color theme="1"/>
        <rFont val="Arial"/>
        <family val="2"/>
      </rPr>
      <t xml:space="preserve"> Temu Gross GMV w/ 45% Take Rate</t>
    </r>
  </si>
  <si>
    <t>OTR</t>
  </si>
  <si>
    <t>Interest Income Analysis</t>
  </si>
  <si>
    <t>Interest Income</t>
  </si>
  <si>
    <t>Short-Term Investments</t>
  </si>
  <si>
    <t>Restricted Cash</t>
  </si>
  <si>
    <t>Cash and Cash Equivalents</t>
  </si>
  <si>
    <t>Long-Term Time Deposits and HTM Debt Securities</t>
  </si>
  <si>
    <t>Long-Term AFS Debt Securities</t>
  </si>
  <si>
    <t>Due in 1 Year Through 5 Years</t>
  </si>
  <si>
    <t>Due in 5 Years Through 10 Years</t>
  </si>
  <si>
    <t>Due in 1 Year Through 2 Years</t>
  </si>
  <si>
    <t>Due in 2 Years Through 3 Years</t>
  </si>
  <si>
    <t>Other Non-Current Assets</t>
  </si>
  <si>
    <t>Equity-Method Investments</t>
  </si>
  <si>
    <t>Long-Term Time Deposits and Debt Securities</t>
  </si>
  <si>
    <t>Days in Period</t>
  </si>
  <si>
    <t>Total Interest-Earning Assets</t>
  </si>
  <si>
    <t>Average Interest-Earning Assets</t>
  </si>
  <si>
    <t>Interest-Earning Assets, Avg</t>
  </si>
  <si>
    <t>IEA Yield</t>
  </si>
  <si>
    <t>Cash and Cash Equivalents + Restricted Cash</t>
  </si>
  <si>
    <t>Due in Less Than 1 Year</t>
  </si>
  <si>
    <t>Onshore IEA Yield</t>
  </si>
  <si>
    <t>Offshore IEA Yield</t>
  </si>
  <si>
    <t>Total IEA Yield</t>
  </si>
  <si>
    <t>China Gov.'t Bond Yield (6M)</t>
  </si>
  <si>
    <t>China Gov.'t Bond Yield (3M)</t>
  </si>
  <si>
    <t>China Gov.'t Bond Yield (9M)</t>
  </si>
  <si>
    <t>China Gov.'t Bond Yield (12M)</t>
  </si>
  <si>
    <t>Onshore IEA Yield (Est.)</t>
  </si>
  <si>
    <t>US Gov.'t Bond Yield (3M)</t>
  </si>
  <si>
    <t>US Gov.'t Bond Yield (6M)</t>
  </si>
  <si>
    <t>US Gov.'t Bond Yield (9M)</t>
  </si>
  <si>
    <t>Weighted Average Portfolio Duration (Months)</t>
  </si>
  <si>
    <t>China Gov.'t Bond Yield (1M)</t>
  </si>
  <si>
    <t>US Gov.'t Bond Yield (1M)</t>
  </si>
  <si>
    <t>Onshore Gov't Bond Yield (Est.)</t>
  </si>
  <si>
    <t>Non-Gov't Yield Premium</t>
  </si>
  <si>
    <t>Offshore Gov't Bond Yield (Est.)</t>
  </si>
  <si>
    <t>Offhore IEA Yield (Est.)</t>
  </si>
  <si>
    <t>4Q Average</t>
  </si>
  <si>
    <t>Implied Yield Weights</t>
  </si>
  <si>
    <t>Onshore/Offshore Yield Calc</t>
  </si>
  <si>
    <t>Cumulative Net Cash Raised Offshore</t>
  </si>
  <si>
    <t>Cumulative Gross Cash Raised Offshore</t>
  </si>
  <si>
    <t>Cumulative Temu GMV</t>
  </si>
  <si>
    <t>Potential Offshore Cash</t>
  </si>
  <si>
    <t>% of Total Non-Restricted IEA</t>
  </si>
  <si>
    <t>Interest-Earning Assets</t>
  </si>
  <si>
    <t>Onshore/Offshore IEA Split</t>
  </si>
  <si>
    <t>Offshore Cash Analysis</t>
  </si>
  <si>
    <t>Unrestricted Cash and Investments</t>
  </si>
  <si>
    <t>% of Unrestricted Cash and Investments</t>
  </si>
  <si>
    <t>Estimated Offshore Cash</t>
  </si>
  <si>
    <r>
      <rPr>
        <i/>
        <u/>
        <sz val="8"/>
        <color theme="1"/>
        <rFont val="Arial"/>
        <family val="2"/>
      </rPr>
      <t>Memo:</t>
    </r>
    <r>
      <rPr>
        <i/>
        <sz val="8"/>
        <color theme="1"/>
        <rFont val="Arial"/>
        <family val="2"/>
      </rPr>
      <t xml:space="preserve"> Max Offshore Cash (PDD Reporting)</t>
    </r>
  </si>
  <si>
    <r>
      <rPr>
        <i/>
        <u/>
        <sz val="8"/>
        <color theme="1"/>
        <rFont val="Arial"/>
        <family val="2"/>
      </rPr>
      <t>Memo:</t>
    </r>
    <r>
      <rPr>
        <i/>
        <sz val="8"/>
        <color theme="1"/>
        <rFont val="Arial"/>
        <family val="2"/>
      </rPr>
      <t xml:space="preserve"> Max Offshore Cash (SAIC Filings)</t>
    </r>
  </si>
  <si>
    <t>Cumulative Temu Net GMV</t>
  </si>
  <si>
    <t>Cumulative Temu S&amp;M</t>
  </si>
  <si>
    <t>Cumulative Temu Offshore Logistics (33% of Total)</t>
  </si>
  <si>
    <r>
      <rPr>
        <i/>
        <u/>
        <sz val="8"/>
        <color theme="1"/>
        <rFont val="Arial"/>
        <family val="2"/>
      </rPr>
      <t>Memo:</t>
    </r>
    <r>
      <rPr>
        <i/>
        <sz val="8"/>
        <color theme="1"/>
        <rFont val="Arial"/>
        <family val="2"/>
      </rPr>
      <t xml:space="preserve"> Min Offshore Cash (SAIC Filings)</t>
    </r>
  </si>
  <si>
    <t>Cash Analysis</t>
  </si>
  <si>
    <t>(RMB in thousands, unless otherwise noted)</t>
  </si>
  <si>
    <t>Scenario 1</t>
  </si>
  <si>
    <t>Scenario 2</t>
  </si>
  <si>
    <t>As of December 31, 2023</t>
  </si>
  <si>
    <t>Total
Assets</t>
  </si>
  <si>
    <t>(-) Non-Cash Assets</t>
  </si>
  <si>
    <t>SAIC</t>
  </si>
  <si>
    <t>GAAP / CRC Est.</t>
  </si>
  <si>
    <t>CRC Est.</t>
  </si>
  <si>
    <t>PDD Holdings Inc.</t>
  </si>
  <si>
    <t>Hangzhou Weimi</t>
  </si>
  <si>
    <t>Hangzhou Weimi Network Technology Co., Ltd.</t>
  </si>
  <si>
    <t>VIE and Its Subsidiaries</t>
  </si>
  <si>
    <t>Hangzhou Aimi Network Technology Co., Ltd.</t>
  </si>
  <si>
    <t>Shanghai Xunmeng Information Technology Co., Ltd.</t>
  </si>
  <si>
    <t>Other Entities</t>
  </si>
  <si>
    <t>Other Subsidiaries of PDD Holdings Inc.</t>
  </si>
  <si>
    <r>
      <t>Walnut Street Information Technology Co., Ltd.</t>
    </r>
    <r>
      <rPr>
        <vertAlign val="superscript"/>
        <sz val="8"/>
        <color theme="1"/>
        <rFont val="Arial"/>
        <family val="2"/>
      </rPr>
      <t>1</t>
    </r>
  </si>
  <si>
    <t>Shenzhen Qianhai Xinzhijiang Information Technology Co., Ltd.</t>
  </si>
  <si>
    <t>Shanghai Yucan Information Technology Co., Ltd.</t>
  </si>
  <si>
    <t>Onshore Subsidiaries of PDD Holdings Inc.</t>
  </si>
  <si>
    <t>Hong Kong Walnut Street Limited (Hong Kong)</t>
  </si>
  <si>
    <t>Radiance Sea Investment Limited (British Virgin Islands)</t>
  </si>
  <si>
    <t>Radiance Sea Group Limited (Cayman Islands)</t>
  </si>
  <si>
    <t>Radiance Sea Hong Kong Limited (Hong Kong)</t>
  </si>
  <si>
    <t>Pinduoduo Investment Limited (British Virgin Islands) and Subsidiaries</t>
  </si>
  <si>
    <t>Offshore Subsidiaries of PDD Holdings Inc.</t>
  </si>
  <si>
    <t>Consolidated Onshore Entities</t>
  </si>
  <si>
    <t>Consolidated Offshore Entities</t>
  </si>
  <si>
    <t>Consolidated Entities</t>
  </si>
  <si>
    <t>Note(s)</t>
  </si>
  <si>
    <t>(1) Includes restricted cash. 'VIE and Its Subsidiaries' held 99.6% and 99.7% of total restricted cash in FY21 and FY22, respectively.</t>
  </si>
  <si>
    <r>
      <t>Implied
Cash &amp; Invest.</t>
    </r>
    <r>
      <rPr>
        <b/>
        <u val="singleAccounting"/>
        <vertAlign val="superscript"/>
        <sz val="8"/>
        <color theme="1"/>
        <rFont val="Arial"/>
        <family val="2"/>
      </rPr>
      <t>1</t>
    </r>
  </si>
  <si>
    <t>Reported</t>
  </si>
  <si>
    <t>OTR Tracking</t>
  </si>
  <si>
    <t>Ad Take Rate Y/Y Growth Index (Current Quarter)</t>
  </si>
  <si>
    <t>Ad Take Rate Y/Y Growth Index (Next Quarter)</t>
  </si>
  <si>
    <t>Calculated OTR Ad Spend Y/Y Growth</t>
  </si>
  <si>
    <t>Reported OMS Revenue Y/Y Growth</t>
  </si>
  <si>
    <t>OTR Ad Take Rate (Mid-Pt)</t>
  </si>
  <si>
    <t>OTR Sales Y/Y Growth (Mid-Pt)</t>
  </si>
  <si>
    <t>3Q24 Results</t>
  </si>
  <si>
    <t>3Q24 Earnings - Variance Analysis</t>
  </si>
  <si>
    <t>4Q24 S&amp;M Analysis</t>
  </si>
  <si>
    <t>Temu Net GMV</t>
  </si>
  <si>
    <t>Other S&amp;M</t>
  </si>
  <si>
    <r>
      <rPr>
        <i/>
        <u/>
        <sz val="8"/>
        <color theme="1"/>
        <rFont val="Arial"/>
        <family val="2"/>
      </rPr>
      <t>Memo:</t>
    </r>
    <r>
      <rPr>
        <i/>
        <sz val="8"/>
        <color theme="1"/>
        <rFont val="Arial"/>
        <family val="2"/>
      </rPr>
      <t xml:space="preserve"> Temu External TAC (USD)</t>
    </r>
  </si>
  <si>
    <t>Temu External TAC</t>
  </si>
  <si>
    <t>Other S&amp;M - 10bn Consumer Subsidy Impact</t>
  </si>
  <si>
    <t>Total Other S&amp;M - Q/Q % Change</t>
  </si>
  <si>
    <t>Other S&amp;M - Base Q/Q % Change</t>
  </si>
  <si>
    <r>
      <rPr>
        <i/>
        <u/>
        <sz val="8"/>
        <color theme="1"/>
        <rFont val="Arial"/>
        <family val="2"/>
      </rPr>
      <t>Memo:</t>
    </r>
    <r>
      <rPr>
        <i/>
        <sz val="8"/>
        <color theme="1"/>
        <rFont val="Arial"/>
        <family val="2"/>
      </rPr>
      <t xml:space="preserve"> 10bn Consumer Subsidy Impact</t>
    </r>
  </si>
  <si>
    <t>Mid</t>
  </si>
  <si>
    <t>BDA/CRC Net GMV Y/Y Growth</t>
  </si>
  <si>
    <t>BDA/CRCCRC Net Take Rate %</t>
  </si>
  <si>
    <t>BDA/CRC</t>
  </si>
  <si>
    <t>Y/Y % Change, Organic, cFX</t>
  </si>
  <si>
    <t>TEVQUklDRS4xLzEvMjAxNi4xMi8zMS8yMDE2AQAAAALtWgACAAAAETAuMTUwNjAxNjc5Mzg1MjQ2ACkBMN78lt0ItZJm3vyW3QgyQ0lRQVZHLiRVU0RDTlkuSVFfTEFTVFNBTEVQUklDRS4xLzEvMjAxNy4zLzMxLzIwMTcBAAAAAu1aAAIAAAARMC4xNDUyMDg0NzM3ODg4ODkAKQEw3vyW3Qi1kmbe/JbdCDJDSVFBVkcuJFVTRENOWS5JUV9MQVNUU0FMRVBSSUNFLjQvMS8yMDE3LjYvMzAvMjAxNwEAAAAC7VoAAgAAABEwLjE0NTc1NTc2MTM5NTYwNAApATDe/JbdCDDlZ978lt0IMkNJUUFWRy4kVVNEQ05ZLklRX0xBU1RTQUxFUFJJQ0UuNy8xLzIwMTcuOS8zMC8yMDE3AQAAAALtWgACAAAAEDAuMTQ5OTQ1NDI3NzM5MTMAKQEw3vyW3Qgw5Wfe/JbdCDRDSVFBVkcuJFVTRENOWS5JUV9MQVNUU0FMRVBSSUNFLjEwLzEvMjAxNy4xMi8zMS8yMDE3AQAAAALtWgACAAAAETAuMTUxMjMxODQxMDk3ODI2ACkBMN78lt0IYQxo3vyW3Qg0Q0lRQVZHLiRVU0RDTlkuSVFfTEFTVFNBTEVQUklDRS4xMC8xLzIwMjMuMTIvMzEvMjAyMwEAAAAC7VoAAgAAABEwLjEzODQ4MzI0MzIxNzM5MQApATDe/JbdCPuBaN78lt0INENJUUFWRy4kVVNEQ05ZLklRX0xBU1RTQUxFUFJJQ0UuMTAvMS8yMDIyLjEyLzMxLzIwMjIBAAAAAu1aAAIAAAARMC4xNDA3MjY0NzM4MjYwODcAKQEw3vyW3QhNM2je/JbdCDRDSVFBVkcuJFVTRENO</t>
  </si>
  <si>
    <t>WS5JUV9MQVNUU0FMRVBSSUNFLjEwLzEvMjAyMS4xMi8zMS8yMDIxAQAAAALtWgACAAAAETAuMTU2NDEyOTIxMTUyMTc0ACkBMN78lt0IYQxo3vyW3Qg0Q0lRQVZHLiRVU0RDTlkuSVFfTEFTVFNBTEVQUklDRS4xMC8xLzIwMjAuMTIvMzEvMjAyMAEAAAAC7VoAAgAAABEwLjE1MTAzNzkyMzg4MDQzNQApATDe/JbdCI2paN78lt0INENJUUFWRy4kVVNEQ05ZLklRX0xBU1RTQUxFUFJJQ0UuMTAvMS8yMDE5LjEyLzMxLzIwMTkBAAAAAu1aAAIAAAARMC4xNDE5OTAzNTUzMzY5NTcAKQEw3vyW3Qj7gWje/JbdCDJDSVFBVkcuJFVTRENOWS5JUV9MQVNUU0FMRVBSSUNFLjcvMS8yMDIzLjkvMzAvMjAyMwEAAAAC7VoAAgAAABEwLjEzODA2NDk1NjkzNDc4MwApATDe/JbdCHpaaN78lt0IMkNJUUFWRy4kVVNEQ05ZLklRX0xBU1RTQUxFUFJJQ0UuNy8xLzIwMjIuOS8zMC8yMDIyAQAAAALtWgACAAAAETAuMTQ2MTM0NjU2OTU2NTIyACkBMN78lt0ITTNo3vyW3QgyQ0lRQVZHLiRVU0RDTlkuSVFfTEFTVFNBTEVQUklDRS43LzEvMjAyMS45LzMwLzIwMjEBAAAAAu1aAAIAAAARMC4xNTQ1NDMyMzQ1OTc4MjYAKQEw3vyW3Qgw5Wfe/JbdCDJDSVFBVkcuJFVTRENOWS5JUV9MQVNUU0FMRVBSSUNFLjcvMS8yMDIwLjkvMzAvMjAyMAEAAAAC7VoAAgAAABEwLjE0NDU0NTQyMjgyNjA4NwApATDe/JbdCI2paN78lt0IMkNJ</t>
  </si>
  <si>
    <t>UUFWRy4kVVNEQ05ZLklRX0xBU1RTQUxFUFJJQ0UuNy8xLzIwMTkuOS8zMC8yMDE5AQAAAALtWgACAAAAETAuMTQyNTUyMTI2NDc4MjYxACkBMN78lt0Ielpo3vyW3QgyQ0lRQVZHLiRVU0RDTlkuSVFfTEFTVFNBTEVQUklDRS4xLzEvMjAyMy4zLzMxLzIwMjMBAAAAAu1aAAIAAAAMMC4xNDYxNzE1MDMzACkBMN78lt0Ielpo3vyW3QgyQ0lRQVZHLiRVU0RDTlkuSVFfTEFTVFNBTEVQUklDRS4xLzEvMjAyMi4zLzMxLzIwMjIBAAAAAu1aAAIAAAARMC4xNTc1MzEyNzQwMzMzMzMAKQEw3vyW3QhhDGje/JbdCDJDSVFBVkcuJFVTRENOWS5JUV9MQVNUU0FMRVBSSUNFLjEvMS8yMDIxLjMvMzEvMjAyMQEAAAAC7VoAAgAAABEwLjE1NDI1MTQzNTE2NjY2NwApATDe/JbdCI2paN78lt0IMkNJUUFWRy4kVVNEQ05ZLklRX0xBU1RTQUxFUFJJQ0UuMS8xLzIwMjAuMy8zMS8yMDIwAQAAAALtWgACAAAAETAuMTQzMjgxODI5NjQ4MzUyACkBMN78lt0I+4Fo3vyW3QgyQ0lRQVZHLiRVU0RDTlkuSVFfTEFTVFNBTEVQUklDRS4xLzEvMjAxOS4zLzMxLzIwMTkBAAAAAu1aAAIAAAARMC4xNDgxOTk2NTE1MTExMTEAKQEw3vyW3QhNM2je/JbdCDJDSVFBVkcuJFVTRENOWS5JUV9MQVNUU0FMRVBSSUNFLjQvMS8yMDIzLjYvMzAvMjAyMwEAAAAC7VoAAgAAABEwLjE0MjcxMDMwNjk2NzAzMwApATDe/JbdCHpaaN78lt0IMkNJ</t>
  </si>
  <si>
    <t>UUFWRy4kVVNEQ05ZLklRX0xBU1RTQUxFUFJJQ0UuNC8xLzIwMjIuNi8zMC8yMDIyAQAAAALtWgACAAAAETAuMTUxMzg1MjIyMTIwODc5ACkBMN78lt0IYQxo3vyW3QgyQ0lRQVZHLiRVU0RDTlkuSVFfTEFTVFNBTEVQUklDRS40LzEvMjAyMS42LzMwLzIwMjEBAAAAAu1aAAIAAAARMC4xNTQ4MzAzNTg4MDIxOTgAKQEw3vyW3Qgw5Wfe/JbdCDJDSVFBVkcuJFVTRENOWS5JUV9MQVNUU0FMRVBSSUNFLjQvMS8yMDIwLjYvMzAvMjAyMAEAAAAC7VoAAgAAABEwLjE0MTEzNjk2OTQxNzU4MgApATDe/JbdCPuBaN78lt0IMkNJUUFWRy4kVVNEQ05ZLklRX0xBU1RTQUxFUFJJQ0UuNC8xLzIwMTkuNi8zMC8yMDE5AQAAAALtWgACAAAAETAuMTQ2NjA1MzI5MTg2ODEzACkBMN78lt0Ielpo3vyW3QgyQ0lRQVZHLiRVU0RDTlkuSVFfTEFTVFNBTEVQUklDRS43LzEvMjAyNC45LzMwLzIwMjQBAAAAAu1aAAIAAAARMC4xMzk2NjQ5MDQ1NzYwODcAKQEw3vyW3QiNqWje/JbdCDNDSVFBVkcuJFVTRENOWS5JUV9MQVNUU0FMRVBSSUNFLjEvMS8yMDE3LjEyLzMxLzIwMTcBAAAAAu1aAAIAAAAMMC4xNDgwNTcxMTE0ACkBMN78lt0IYQxo3vyW3QgzQ0lRQVZHLiRVU0RDTlkuSVFfTEFTVFNBTEVQUklDRS4xLzEvMjAxOC4xMi8zMS8yMDE4AQAAAALtWgACAAAAETAuMTUxMzg2OTE3NTA5NTg5ACkBMN78lt0ITTNo3vyW3Qgz</t>
  </si>
  <si>
    <t>U1RTQUxFUFJJQ0UuNS8xOS8yMDI1AQAAAALtWgACAAAACzAuMTM4NjI1MTE2AEk0/aX7lt0IQb7apvuW3QgnQ0lRLiRVU0RDTlkuSVFfTEFTVFNBTEVQUklDRS4xMi8zMS8yMDI0AQAAAALtWgACAAAACzAuMTM3MDAzMTkyABQpCan7lt0I1MOCKfyW3QgrQ0lRQVZHLiRVU0RDTlkuSVFfTEFTVFNBTEVQUklDRS4uMTIvMzEvMjAyNAUAAAAAAAAACAAAABIoSW52YWxpZCBFbmQgRGF0ZSl779m3+5bdCEC/ZN78lt0IK0NJUUFWRy4kVVNEQ05ZLklRX0xBU1RTQUxFUFJJQ0UuLjEyLzMxLzIwMjAFAAAAAAAAAAgAAAASKEludmFsaWQgRW5kIERhdGUpe+/Zt/uW3QgoHmbe/JbdCCtDSVFBVkcuJFVTRENOWS5JUV9MQVNUU0FMRVBSSUNFLi4xMi8zMS8yMDIxBQAAAAAAAAAIAAAAEihJbnZhbGlkIEVuZCBEYXRlKXvv2bf7lt0IWPll3vyW3QgrQ0lRQVZHLiRVU0RDTlkuSVFfTEFTVFNBTEVQUklDRS4uMTIvMzEvMjAyMgUAAAAAAAAACAAAABIoSW52YWxpZCBFbmQgRGF0ZSl779m3+5bdCFj5Zd78lt0IK0NJUUFWRy4kVVNEQ05ZLklRX0xBU1RTQUxFUFJJQ0UuLjEyLzMxLzIwMjMFAAAAAAAAAAgAAAASKEludmFsaWQgRW5kIERhdGUpe+/Zt/uW3QgtZWbe/JbdCCtDSVFBVkcuJFVTRENOWS5JUV9MQVNUU0FMRVBSSUNFLi4xMi8zMS8yMDE3BQAAAAAAAAAIAAAAEihJbnZhbGlkIEVuZCBEYXRlKXvv2bf7lt0I</t>
  </si>
  <si>
    <t>QEVm3vyW3QgrQ0lRQVZHLiRVU0RDTlkuSVFfTEFTVFNBTEVQUklDRS4uMTIvMzEvMjAxOAUAAAAAAAAACAAAABIoSW52YWxpZCBFbmQgRGF0ZSl779m3+5bdCHhrZt78lt0IK0NJUUFWRy4kVVNEQ05ZLklRX0xBU1RTQUxFUFJJQ0UuLjEyLzMxLzIwMTkFAAAAAAAAAAgAAAASKEludmFsaWQgRW5kIERhdGUpe+/Zt/uW3QgoHmbe/JbdCCpDSVFBVkcuJFVTRENOWS5JUV9MQVNUU0FMRVBSSUNFLi42LzMwLzIwMjEFAAAAAAAAAAgAAAASKEludmFsaWQgRW5kIERhdGUpe+/Zt/uW3QitqGXe/JbdCCpDSVFBVkcuJFVTRENOWS5JUV9MQVNUU0FMRVBSSUNFLi42LzMwLzIwMjAFAAAAAAAAAAgAAAASKEludmFsaWQgRW5kIERhdGUpe+/Zt/uW3QgiNGXe/JbdCCpDSVFBVkcuJFVTRENOWS5JUV9MQVNUU0FMRVBSSUNFLi42LzMwLzIwMTkFAAAAAAAAAAgAAAASKEludmFsaWQgRW5kIERhdGUpe+/Zt/uW3QgiNGXe/JbdCCpDSVFBVkcuJFVTRENOWS5JUV9MQVNUU0FMRVBSSUNFLi45LzMwLzIwMjQFAAAAAAAAAAgAAAASKEludmFsaWQgRW5kIERhdGUpe+/Zt/uW3QjLDGXe/JbdCCpDSVFBVkcuJFVTRENOWS5JUV9MQVNUU0FMRVBSSUNFLi4zLzMxLzIwMjAFAAAAAAAAAAgAAAASKEludmFsaWQgRW5kIERhdGUpe+/Zt/uW3Qhd0GXe/JbdCCpDSVFBVkcuJFVTRENOWS5JUV9MQVNUU0FMRVBSSUNFLi4zLzMxLzIw</t>
  </si>
  <si>
    <t>MTkFAAAAAAAAAAgAAAASKEludmFsaWQgRW5kIERhdGUpe+/Zt/uW3Qi5WmXe/JbdCCpDSVFBVkcuJFVTRENOWS5JUV9MQVNUU0FMRVBSSUNFLi42LzMwLzIwMjMFAAAAAAAAAAgAAAASKEludmFsaWQgRW5kIERhdGUpe+/Zt/uW3QgMgmXe/JbdCCpDSVFBVkcuJFVTRENOWS5JUV9MQVNUU0FMRVBSSUNFLi42LzMwLzIwMjIFAAAAAAAAAAgAAAASKEludmFsaWQgRW5kIERhdGUpe+/Zt/uW3QgMgmXe/JbdCCpDSVFBVkcuJFVTRENOWS5JUV9MQVNUU0FMRVBSSUNFLi45LzMwLzIwMTkFAAAAAAAAAAgAAAASKEludmFsaWQgRW5kIERhdGUpe+/Zt/uW3QjLDGXe/JbdCCpDSVFBVkcuJFVTRENOWS5JUV9MQVNUU0FMRVBSSUNFLi4zLzMxLzIwMjMFAAAAAAAAAAgAAAASKEludmFsaWQgRW5kIERhdGUpe+/Zt/uW3QitqGXe/JbdCCpDSVFBVkcuJFVTRENOWS5JUV9MQVNUU0FMRVBSSUNFLi4zLzMxLzIwMjIFAAAAAAAAAAgAAAASKEludmFsaWQgRW5kIERhdGUpe+/Zt/uW3QitqGXe/JbdCCpDSVFBVkcuJFVTRENOWS5JUV9MQVNUU0FMRVBSSUNFLi4zLzMxLzIwMjEFAAAAAAAAAAgAAAASKEludmFsaWQgRW5kIERhdGUpe+/Zt/uW3Qhd0GXe/JbdCCpDSVFBVkcuJFVTRENOWS5JUV9MQVNUU0FMRVBSSUNFLi45LzMwLzIwMjMFAAAAAAAAAAgAAAASKEludmFsaWQgRW5kIERhdGUpe+/Zt/uW3Qi5WmXe/JbdCCpD</t>
  </si>
  <si>
    <t>SVFBVkcuJFVTRENOWS5JUV9MQVNUU0FMRVBSSUNFLi45LzMwLzIwMjIFAAAAAAAAAAgAAAASKEludmFsaWQgRW5kIERhdGUpe+/Zt/uW3Qi5WmXe/JbdCCpDSVFBVkcuJFVTRENOWS5JUV9MQVNUU0FMRVBSSUNFLi45LzMwLzIwMjEFAAAAAAAAAAgAAAASKEludmFsaWQgRW5kIERhdGUpe+/Zt/uW3Qja5WTe/JbdCCpDSVFBVkcuJFVTRENOWS5JUV9MQVNUU0FMRVBSSUNFLi45LzMwLzIwMjAFAAAAAAAAAAgAAAASKEludmFsaWQgRW5kIERhdGUpe+/Zt/uW3QjLDGXe/JbdCCpDSVFBVkcuJFVTRENOWS5JUV9MQVNUU0FMRVBSSUNFLi42LzMwLzIwMTcFAAAAAAAAAAgAAAASKEludmFsaWQgRW5kIERhdGUpe+/Zt/uW3QgoHmbe/JbdCCpDSVFBVkcuJFVTRENOWS5JUV9MQVNUU0FMRVBSSUNFLi45LzMwLzIwMTcFAAAAAAAAAAgAAAASKEludmFsaWQgRW5kIERhdGUpe+/Zt/uW3QhARWbe/JbdCCpDSVFBVkcuJFVTRENOWS5JUV9MQVNUU0FMRVBSSUNFLi45LzMwLzIwMTgFAAAAAAAAAAgAAAASKEludmFsaWQgRW5kIERhdGUpe+/Zt/uW3Qh4a2be/JbdCCpDSVFBVkcuJFVTRENOWS5JUV9MQVNUU0FMRVBSSUNFLi42LzMwLzIwMjQFAAAAAAAAAAgAAAASKEludmFsaWQgRW5kIERhdGUpe+/Zt/uW3Qi1kmbe/JbdCCpDSVFBVkcuJFVTRENOWS5JUV9MQVNUU0FMRVBSSUNFLi4zLzMxLzIwMjQFAAAAAAAAAAgA</t>
  </si>
  <si>
    <t>BAABTAhSRVBPUlRFRAFI/////wFQTwAAABxDSVEuJFVTRENOWS5JUV9MQVNUU0FMRVBSSUNFAQAAAALtWgACAAAACzAuMTM4NjI1MTE2ACkBMN78lt0IrBhA6f2W3QggQ0lRLlBERC5JUV9FUFNfRVNULkZZMjAyNC4uLi5VU0QBAAAAbdggIgIAAAAQMTEuMjIyODM0MzA3NzU1MwEOAAAABQAAAAEzAQAAAAk1NzQ0MTcyMjACAAAACjEwMDQyNDMzNjQDAAAABjEwMDE3MwQAAAABMgYAAAABMAcAAAADMTYwCAAAAAEwCQAAAAExCgAAAAEwCwAAAAsxNDEyNTE0ODIwMAwAAAABMQ0AAAAJNS8yMC8yMDI1EAAAAAoxMi8zMS8yMDI0KQEw3vyW3QibZl/o/ZbdCCBDSVEuUERELklRX0VQU19FU1QuRlkyMDI1Li4uLlVTRAEAAABt2CAiAgAAABAxMi4yNTczNjU4MzY4MzE0AQ4AAAAFAAAAATMBAAAACTU3NDQxNzIyMAIAAAAKMTAwNDI0MzM2OQMAAAAGMTAwMTczBAAAAAEyBgAAAAEwBwAAAAMxNjAIAAAAATAJAAAAATEKAAAAATALAAAACzE0MzI2NzA5NjM1DAAAAAExDQAAAAk1LzIwLzIwMjUQAAAACTUvMTkvMjAyNSkBMN78lt0Im2Zf6P2W3QggQ0lRLlBERC5JUV9FUFNfRVNULkZZMjAyNi4uLi5VU0QBAAAAbdggIgIAAAAQMTQuNzgwNzEwMzA0NTg4OAEOAAAABQAAAAEzAQAAAAk1NzQ0MTcyMjACAAAACjEwMDQyNDMzNzQDAAAABjEwMDE3MwQAAAABMgYAAAABMAcAAAADMTYwCAAAAAEwCQAAAAExCgAAAAEw</t>
  </si>
  <si>
    <t>CwAAAAsxNDMyNjcwOTYxNwwAAAABMQ0AAAAJNS8yMC8yMDI1EAAAAAk1LzE5LzIwMjUpATDe/JbdCJtmX+j9lt0IMkNJUUFWRy4kVVNEQ05ZLklRX0xBU1RTQUxFUFJJQ0UuNC8xLzIwMjQuNi8zMC8yMDI0AQAAAALtWgACAAAAETAuMTM4MDkyMTU5OTM0MDY2ACkBMN78lt0Ijalo3vyW3QgyQ0lRQVZHLiRVU0RDTlkuSVFfTEFTVFNBTEVQUklDRS4xLzEvMjAyNC4zLzMxLzIwMjQBAAAAAu1aAAIAAAARMC4xMzkyODg2Mzk4NTcxNDMAKQEw3vyW3Qj7gWje/JbdCDJDSVFBVkcuJFVTRENOWS5JUV9MQVNUU0FMRVBSSUNFLjEvMS8yMDE4LjMvMzEvMjAxOAEAAAAC7VoAAgAAABEwLjE1NzMyODYzMDkyMjIyMgApATDe/JbdCGEMaN78lt0IMkNJUUFWRy4kVVNEQ05ZLklRX0xBU1RTQUxFUFJJQ0UuNC8xLzIwMTguNi8zMC8yMDE4AQAAAALtWgACAAAAETAuMTU2ODE1NTM3ODAyMTk4ACkBMN78lt0IYQxo3vyW3QgyQ0lRQVZHLiRVU0RDTlkuSVFfTEFTVFNBTEVQUklDRS43LzEvMjAxOC45LzMwLzIwMTgBAAAAAu1aAAIAAAARMC4xNDY5ODM2NTAxNTIxNzQAKQEw3vyW3QhNM2je/JbdCDRDSVFBVkcuJFVTRENOWS5JUV9MQVNUU0FMRVBSSUNFLjEwLzEvMjAxOC4xMi8zMS8yMDE4AQAAAALtWgACAAAAETAuMTQ0NjA4MDI1NTg2OTU3ACkBMN78lt0ITTNo3vyW3QgzQ0lRQVZHLiRVU0RDTlkuSVFfTEFTVFNB</t>
  </si>
  <si>
    <t>Q0lRQVZHLiRVU0RDTlkuSVFfTEFTVFNBTEVQUklDRS4xLzEvMjAxOS4xMi8zMS8yMDE5AQAAAALtWgACAAAAEDAuMTQ0ODEzNTk0Mjk4NjMAKQEw3vyW3QhNM2je/JbdCDNDSVFBVkcuJFVTRENOWS5JUV9MQVNUU0FMRVBSSUNFLjEvMS8yMDIwLjEyLzMxLzIwMjABAAAAAu1aAAIAAAARMC4xNDUwMTU3ODg1NTczNzcAKQEw3vyW3QhNM2je/JbdCDNDSVFBVkcuJFVTRENOWS5JUV9MQVNUU0FMRVBSSUNFLjEvMS8yMDIxLjEyLzMxLzIwMjEBAAAAAu1aAAIAAAAQMC4xNTUwMTQxMzE5MDQxMQApATDe/JbdCHpaaN78lt0IM0NJUUFWRy4kVVNEQ05ZLklRX0xBU1RTQUxFUFJJQ0UuMS8xLzIwMjIuMTIvMzEvMjAyMgEAAAAC7VoAAgAAABEwLjE0ODg5MDY2ODI0MTA5NgApATDe/JbdCHpaaN78lt0IM0NJUUFWRy4kVVNEQ05ZLklRX0xBU1RTQUxFUFJJQ0UuMS8xLzIwMjMuMTIvMzEvMjAyMwEAAAAC7VoAAgAAABEwLjE0MTMyNzQxODIwNTQ3OQApATDe/JbdCPuBaN78lt0INENJUUFWRy4kVVNEQ05ZLklRX0xBU1RTQUxFUFJJQ0UuMTAvMS8yMDI0LjEyLzMxLzIwMjQBAAAAAu1aAAIAAAARMC4xMzkwNTA1NDI0MjM5MTMAKQEw3vyW3QisGEDp/ZbdCB1DSVEuJFVTRENOWS5JUV9MQVNUU0FMRVBSSUNFLgEAAAAC7VoAAgAAAAswLjEzODYyNTExNgBJNP2l+5bdCGpJ2qb7lt0IJkNJUS4kVVNEQ05ZLklRX0xB</t>
  </si>
  <si>
    <t>AAASKEludmFsaWQgRW5kIERhdGUpe+/Zt/uW3Qi1kmbe/JbdCCpDSVFBVkcuJFVTRENOWS5JUV9MQVNUU0FMRVBSSUNFLi4zLzMxLzIwMTgFAAAAAAAAAAgAAAASKEludmFsaWQgRW5kIERhdGUpe+/Zt/uW3QhiuWbe/JbdCCpDSVFBVkcuJFVTRENOWS5JUV9MQVNUU0FMRVBSSUNFLi42LzMwLzIwMTgFAAAAAAAAAAgAAAASKEludmFsaWQgRW5kIERhdGUpe+/Zt/uW3QhiuWbe/JbdCCdDSVEuJENOWVVTRC5JUV9MQVNUU0FMRVBSSUNFLjEyLzMxLzIwMjQBAAAAgutaAAIAAAAGNy4yOTkxAGvdb0H9lt0Ishhf6P2W3Q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</si>
</sst>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7" formatCode="&quot;$&quot;#,##0.00_);\(&quot;$&quot;#,##0.00\)"/>
    <numFmt numFmtId="41" formatCode="_(* #,##0_);_(* \(#,##0\);_(* &quot;-&quot;_);_(@_)"/>
    <numFmt numFmtId="43" formatCode="_(* #,##0.00_);_(* \(#,##0.00\);_(* &quot;-&quot;??_);_(@_)"/>
    <numFmt numFmtId="164" formatCode="_(* #,##0.00_);_(* \(#,##0.00\);_(* &quot;-&quot;_);_(@_)"/>
    <numFmt numFmtId="165" formatCode="_(* #,##0%_);_(* \(#,##0%\);_(* &quot;-&quot;_);_(@_)"/>
    <numFmt numFmtId="166" formatCode="_(* #,##0.0%_);_(* \(#,##0.0%\);_(* &quot;-&quot;_);_(@_)"/>
    <numFmt numFmtId="167" formatCode="m/d/yy;@"/>
    <numFmt numFmtId="168" formatCode="#,##0.0%_);\(#,##0.0%\)"/>
    <numFmt numFmtId="169" formatCode="0.0%"/>
    <numFmt numFmtId="170" formatCode="#,##0.0\x_);\(#,##0.0\x\)"/>
    <numFmt numFmtId="171" formatCode="#,##0%_);\(#,##0%\)"/>
    <numFmt numFmtId="172" formatCode="_(* #,##0_);_(* \(#,##0\);_(* &quot;-&quot;??_);_(@_)"/>
    <numFmt numFmtId="173" formatCode="0.000%"/>
    <numFmt numFmtId="174" formatCode="#,##0.00;[Red]\(#,##0.00\)"/>
    <numFmt numFmtId="175" formatCode="_(* #,##0.00%_);_(* \(#,##0.00%\);_(* &quot;-&quot;??_);_(@_)"/>
    <numFmt numFmtId="176" formatCode="_(* #,##0.0_);_(* \(#,##0.0\);_(* &quot;-&quot;_);_(@_)"/>
    <numFmt numFmtId="177" formatCode="_(* #,##0%_);_(* \(#,##0%\);_(* &quot;-&quot;??_);_(@_)"/>
    <numFmt numFmtId="178" formatCode="0.0000000000000000%"/>
  </numFmts>
  <fonts count="46" x14ac:knownFonts="1">
    <font>
      <sz val="8"/>
      <color theme="1"/>
      <name val="Arial"/>
      <family val="2"/>
    </font>
    <font>
      <b/>
      <sz val="8"/>
      <color theme="1"/>
      <name val="Arial"/>
      <family val="2"/>
    </font>
    <font>
      <i/>
      <sz val="8"/>
      <color theme="1"/>
      <name val="Arial"/>
      <family val="2"/>
    </font>
    <font>
      <b/>
      <u val="singleAccounting"/>
      <sz val="8"/>
      <color theme="1"/>
      <name val="Arial"/>
      <family val="2"/>
    </font>
    <font>
      <sz val="8"/>
      <name val="Arial"/>
      <family val="2"/>
    </font>
    <font>
      <sz val="8"/>
      <color rgb="FF0000FF"/>
      <name val="Arial"/>
      <family val="2"/>
    </font>
    <font>
      <u val="singleAccounting"/>
      <sz val="8"/>
      <color rgb="FF0000FF"/>
      <name val="Arial"/>
      <family val="2"/>
    </font>
    <font>
      <u val="singleAccounting"/>
      <sz val="8"/>
      <name val="Arial"/>
      <family val="2"/>
    </font>
    <font>
      <u val="singleAccounting"/>
      <sz val="8"/>
      <color theme="1"/>
      <name val="Arial"/>
      <family val="2"/>
    </font>
    <font>
      <i/>
      <u/>
      <sz val="8"/>
      <color theme="1"/>
      <name val="Arial"/>
      <family val="2"/>
    </font>
    <font>
      <i/>
      <sz val="8"/>
      <name val="Arial"/>
      <family val="2"/>
    </font>
    <font>
      <b/>
      <u/>
      <sz val="8"/>
      <color theme="1"/>
      <name val="Arial"/>
      <family val="2"/>
    </font>
    <font>
      <i/>
      <u val="singleAccounting"/>
      <sz val="8"/>
      <color theme="1"/>
      <name val="Arial"/>
      <family val="2"/>
    </font>
    <font>
      <b/>
      <sz val="8"/>
      <color rgb="FF0000FF"/>
      <name val="Arial"/>
      <family val="2"/>
    </font>
    <font>
      <b/>
      <sz val="8"/>
      <name val="Arial"/>
      <family val="2"/>
    </font>
    <font>
      <sz val="8"/>
      <color theme="1"/>
      <name val="Arial"/>
      <family val="2"/>
    </font>
    <font>
      <sz val="8"/>
      <color rgb="FFFF0000"/>
      <name val="Arial"/>
      <family val="2"/>
    </font>
    <font>
      <sz val="8"/>
      <color theme="0"/>
      <name val="Arial"/>
      <family val="2"/>
    </font>
    <font>
      <u/>
      <sz val="8"/>
      <color theme="1"/>
      <name val="Arial"/>
      <family val="2"/>
    </font>
    <font>
      <b/>
      <i/>
      <sz val="8"/>
      <color theme="1"/>
      <name val="Arial"/>
      <family val="2"/>
    </font>
    <font>
      <u val="singleAccounting"/>
      <sz val="8"/>
      <color rgb="FF7030A0"/>
      <name val="Arial"/>
      <family val="2"/>
    </font>
    <font>
      <u val="singleAccounting"/>
      <sz val="8"/>
      <color rgb="FFFF0000"/>
      <name val="Arial"/>
      <family val="2"/>
    </font>
    <font>
      <sz val="11"/>
      <color theme="1"/>
      <name val="Calibri"/>
      <family val="2"/>
      <scheme val="minor"/>
    </font>
    <font>
      <sz val="10"/>
      <color theme="1"/>
      <name val="Arial"/>
      <family val="2"/>
    </font>
    <font>
      <sz val="8"/>
      <color rgb="FF00B050"/>
      <name val="Arial"/>
      <family val="2"/>
    </font>
    <font>
      <i/>
      <sz val="8"/>
      <color rgb="FFFF0000"/>
      <name val="Arial"/>
      <family val="2"/>
    </font>
    <font>
      <u val="singleAccounting"/>
      <sz val="8"/>
      <color rgb="FF00B050"/>
      <name val="Arial"/>
      <family val="2"/>
    </font>
    <font>
      <i/>
      <sz val="8"/>
      <color rgb="FF00B050"/>
      <name val="Arial"/>
      <family val="2"/>
    </font>
    <font>
      <i/>
      <sz val="8"/>
      <color rgb="FF0000FF"/>
      <name val="Arial"/>
      <family val="2"/>
    </font>
    <font>
      <i/>
      <u val="singleAccounting"/>
      <sz val="8"/>
      <name val="Arial"/>
      <family val="2"/>
    </font>
    <font>
      <i/>
      <u val="singleAccounting"/>
      <sz val="8"/>
      <color rgb="FFFF0000"/>
      <name val="Arial"/>
      <family val="2"/>
    </font>
    <font>
      <i/>
      <u val="singleAccounting"/>
      <sz val="8"/>
      <color rgb="FF0000FF"/>
      <name val="Arial"/>
      <family val="2"/>
    </font>
    <font>
      <b/>
      <i/>
      <u val="singleAccounting"/>
      <sz val="8"/>
      <color theme="1"/>
      <name val="Arial"/>
      <family val="2"/>
    </font>
    <font>
      <sz val="9"/>
      <color indexed="81"/>
      <name val="Tahoma"/>
      <family val="2"/>
    </font>
    <font>
      <b/>
      <sz val="9"/>
      <color indexed="81"/>
      <name val="Tahoma"/>
      <family val="2"/>
    </font>
    <font>
      <sz val="8"/>
      <color rgb="FF7030A0"/>
      <name val="Arial"/>
      <family val="2"/>
    </font>
    <font>
      <u/>
      <sz val="8"/>
      <color rgb="FFFF0000"/>
      <name val="Arial"/>
      <family val="2"/>
    </font>
    <font>
      <u/>
      <sz val="8"/>
      <name val="Arial"/>
      <family val="2"/>
    </font>
    <font>
      <sz val="7"/>
      <color rgb="FF000000"/>
      <name val="Arial"/>
      <family val="2"/>
    </font>
    <font>
      <b/>
      <sz val="8"/>
      <color rgb="FFFF0000"/>
      <name val="Arial"/>
      <family val="2"/>
    </font>
    <font>
      <b/>
      <sz val="8"/>
      <color rgb="FFFFC000"/>
      <name val="Arial"/>
      <family val="2"/>
    </font>
    <font>
      <vertAlign val="superscript"/>
      <sz val="8"/>
      <color theme="1"/>
      <name val="Arial"/>
      <family val="2"/>
    </font>
    <font>
      <b/>
      <i/>
      <sz val="8"/>
      <color rgb="FFFF0000"/>
      <name val="Arial"/>
      <family val="2"/>
    </font>
    <font>
      <b/>
      <u val="singleAccounting"/>
      <vertAlign val="superscript"/>
      <sz val="8"/>
      <color theme="1"/>
      <name val="Arial"/>
      <family val="2"/>
    </font>
    <font>
      <i/>
      <u val="singleAccounting"/>
      <sz val="8"/>
      <color rgb="FF00B050"/>
      <name val="Arial"/>
      <family val="2"/>
    </font>
    <font>
      <b/>
      <sz val="8"/>
      <color rgb="FF00B050"/>
      <name val="Arial"/>
      <family val="2"/>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CCFFCC"/>
        <bgColor indexed="64"/>
      </patternFill>
    </fill>
  </fills>
  <borders count="8">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s>
  <cellStyleXfs count="8">
    <xf numFmtId="0" fontId="0" fillId="0" borderId="0"/>
    <xf numFmtId="0" fontId="22" fillId="0" borderId="0"/>
    <xf numFmtId="9" fontId="23" fillId="0" borderId="0" applyFont="0" applyFill="0" applyBorder="0" applyAlignment="0" applyProtection="0"/>
    <xf numFmtId="0" fontId="15" fillId="0" borderId="0"/>
    <xf numFmtId="9" fontId="22" fillId="0" borderId="0" applyFont="0" applyFill="0" applyBorder="0" applyAlignment="0" applyProtection="0"/>
    <xf numFmtId="9" fontId="22"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cellStyleXfs>
  <cellXfs count="278">
    <xf numFmtId="0" fontId="0" fillId="0" borderId="0" xfId="0"/>
    <xf numFmtId="0" fontId="1" fillId="0" borderId="0" xfId="0" applyFont="1"/>
    <xf numFmtId="0" fontId="1" fillId="0" borderId="1" xfId="0" applyFont="1" applyBorder="1"/>
    <xf numFmtId="0" fontId="2" fillId="0" borderId="0" xfId="0" applyFont="1"/>
    <xf numFmtId="0" fontId="0" fillId="0" borderId="0" xfId="0" applyAlignment="1">
      <alignment horizontal="left" indent="1"/>
    </xf>
    <xf numFmtId="0" fontId="0" fillId="0" borderId="3" xfId="0" applyBorder="1"/>
    <xf numFmtId="0" fontId="1" fillId="0" borderId="2" xfId="0" applyFont="1" applyBorder="1"/>
    <xf numFmtId="0" fontId="3" fillId="0" borderId="0" xfId="0" applyFont="1" applyAlignment="1">
      <alignment horizontal="center"/>
    </xf>
    <xf numFmtId="0" fontId="1" fillId="0" borderId="1" xfId="0" applyFont="1" applyBorder="1" applyAlignment="1">
      <alignment horizontal="centerContinuous"/>
    </xf>
    <xf numFmtId="0" fontId="0" fillId="0" borderId="1" xfId="0" applyBorder="1" applyAlignment="1">
      <alignment horizontal="centerContinuous"/>
    </xf>
    <xf numFmtId="41" fontId="0" fillId="0" borderId="0" xfId="0" applyNumberFormat="1"/>
    <xf numFmtId="41" fontId="5" fillId="0" borderId="0" xfId="0" applyNumberFormat="1" applyFont="1"/>
    <xf numFmtId="41" fontId="5" fillId="0" borderId="0" xfId="0" applyNumberFormat="1" applyFont="1" applyAlignment="1">
      <alignment horizontal="right"/>
    </xf>
    <xf numFmtId="41" fontId="6" fillId="0" borderId="0" xfId="0" applyNumberFormat="1" applyFont="1"/>
    <xf numFmtId="41" fontId="4" fillId="0" borderId="0" xfId="0" applyNumberFormat="1" applyFont="1"/>
    <xf numFmtId="41" fontId="7" fillId="0" borderId="0" xfId="0" applyNumberFormat="1" applyFont="1"/>
    <xf numFmtId="0" fontId="8" fillId="0" borderId="0" xfId="0" applyFont="1"/>
    <xf numFmtId="41" fontId="4" fillId="0" borderId="0" xfId="0" applyNumberFormat="1" applyFont="1" applyAlignment="1">
      <alignment horizontal="right"/>
    </xf>
    <xf numFmtId="164" fontId="4" fillId="0" borderId="0" xfId="0" applyNumberFormat="1" applyFont="1" applyAlignment="1">
      <alignment horizontal="right"/>
    </xf>
    <xf numFmtId="0" fontId="9" fillId="0" borderId="0" xfId="0" applyFont="1" applyAlignment="1">
      <alignment horizontal="left" indent="1"/>
    </xf>
    <xf numFmtId="0" fontId="2" fillId="0" borderId="0" xfId="0" applyFont="1" applyAlignment="1">
      <alignment horizontal="left" indent="1"/>
    </xf>
    <xf numFmtId="164" fontId="10" fillId="0" borderId="0" xfId="0" applyNumberFormat="1" applyFont="1" applyAlignment="1">
      <alignment horizontal="right"/>
    </xf>
    <xf numFmtId="41" fontId="10" fillId="0" borderId="0" xfId="0" applyNumberFormat="1" applyFont="1" applyAlignment="1">
      <alignment horizontal="right"/>
    </xf>
    <xf numFmtId="41" fontId="6" fillId="0" borderId="0" xfId="0" applyNumberFormat="1" applyFont="1" applyAlignment="1">
      <alignment horizontal="right"/>
    </xf>
    <xf numFmtId="0" fontId="11" fillId="0" borderId="0" xfId="0" applyFont="1"/>
    <xf numFmtId="41" fontId="8" fillId="0" borderId="0" xfId="0" applyNumberFormat="1" applyFont="1"/>
    <xf numFmtId="164" fontId="0" fillId="0" borderId="0" xfId="0" applyNumberFormat="1" applyAlignment="1">
      <alignment horizontal="right"/>
    </xf>
    <xf numFmtId="164" fontId="2" fillId="0" borderId="0" xfId="0" applyNumberFormat="1" applyFont="1" applyAlignment="1">
      <alignment horizontal="right"/>
    </xf>
    <xf numFmtId="165" fontId="2" fillId="0" borderId="0" xfId="0" applyNumberFormat="1" applyFont="1"/>
    <xf numFmtId="166" fontId="2" fillId="0" borderId="0" xfId="0" applyNumberFormat="1" applyFont="1"/>
    <xf numFmtId="0" fontId="2" fillId="0" borderId="0" xfId="0" applyFont="1" applyAlignment="1">
      <alignment horizontal="left" indent="2"/>
    </xf>
    <xf numFmtId="165" fontId="12" fillId="0" borderId="0" xfId="0" applyNumberFormat="1" applyFont="1"/>
    <xf numFmtId="166" fontId="12" fillId="0" borderId="0" xfId="0" applyNumberFormat="1" applyFont="1"/>
    <xf numFmtId="43" fontId="0" fillId="0" borderId="0" xfId="0" applyNumberFormat="1"/>
    <xf numFmtId="0" fontId="0" fillId="0" borderId="0" xfId="0" quotePrefix="1"/>
    <xf numFmtId="41" fontId="8" fillId="0" borderId="0" xfId="0" applyNumberFormat="1" applyFont="1" applyAlignment="1">
      <alignment horizontal="right"/>
    </xf>
    <xf numFmtId="41" fontId="7" fillId="0" borderId="0" xfId="0" applyNumberFormat="1" applyFont="1" applyAlignment="1">
      <alignment horizontal="right"/>
    </xf>
    <xf numFmtId="41" fontId="0" fillId="0" borderId="0" xfId="0" applyNumberFormat="1" applyAlignment="1">
      <alignment horizontal="right"/>
    </xf>
    <xf numFmtId="0" fontId="1" fillId="0" borderId="0" xfId="0" applyFont="1" applyAlignment="1">
      <alignment horizontal="left" indent="1"/>
    </xf>
    <xf numFmtId="41" fontId="13" fillId="0" borderId="0" xfId="0" applyNumberFormat="1" applyFont="1"/>
    <xf numFmtId="41" fontId="13" fillId="0" borderId="0" xfId="0" applyNumberFormat="1" applyFont="1" applyAlignment="1">
      <alignment horizontal="right"/>
    </xf>
    <xf numFmtId="41" fontId="1" fillId="0" borderId="0" xfId="0" applyNumberFormat="1" applyFont="1" applyAlignment="1">
      <alignment horizontal="right"/>
    </xf>
    <xf numFmtId="41" fontId="1" fillId="0" borderId="0" xfId="0" applyNumberFormat="1" applyFont="1"/>
    <xf numFmtId="0" fontId="1" fillId="0" borderId="0" xfId="0" applyFont="1" applyAlignment="1">
      <alignment horizontal="left" indent="2"/>
    </xf>
    <xf numFmtId="166" fontId="2" fillId="0" borderId="0" xfId="0" applyNumberFormat="1" applyFont="1" applyAlignment="1">
      <alignment horizontal="right"/>
    </xf>
    <xf numFmtId="166" fontId="12" fillId="0" borderId="0" xfId="0" applyNumberFormat="1" applyFont="1" applyAlignment="1">
      <alignment horizontal="right"/>
    </xf>
    <xf numFmtId="165" fontId="2" fillId="0" borderId="0" xfId="0" applyNumberFormat="1" applyFont="1" applyAlignment="1">
      <alignment horizontal="right"/>
    </xf>
    <xf numFmtId="165" fontId="12" fillId="0" borderId="0" xfId="0" applyNumberFormat="1" applyFont="1" applyAlignment="1">
      <alignment horizontal="right"/>
    </xf>
    <xf numFmtId="41" fontId="14" fillId="0" borderId="0" xfId="0" applyNumberFormat="1" applyFont="1"/>
    <xf numFmtId="41" fontId="14" fillId="0" borderId="0" xfId="0" applyNumberFormat="1" applyFont="1" applyAlignment="1">
      <alignment horizontal="right"/>
    </xf>
    <xf numFmtId="164" fontId="1" fillId="0" borderId="0" xfId="0" applyNumberFormat="1" applyFont="1" applyAlignment="1">
      <alignment horizontal="right"/>
    </xf>
    <xf numFmtId="0" fontId="3" fillId="0" borderId="0" xfId="0" applyFont="1"/>
    <xf numFmtId="41" fontId="3" fillId="0" borderId="0" xfId="0" applyNumberFormat="1" applyFont="1"/>
    <xf numFmtId="41" fontId="2" fillId="0" borderId="0" xfId="0" applyNumberFormat="1" applyFont="1"/>
    <xf numFmtId="41" fontId="21" fillId="0" borderId="0" xfId="0" applyNumberFormat="1" applyFont="1"/>
    <xf numFmtId="0" fontId="0" fillId="0" borderId="0" xfId="0" applyAlignment="1">
      <alignment horizontal="right"/>
    </xf>
    <xf numFmtId="0" fontId="8" fillId="0" borderId="0" xfId="0" applyFont="1" applyAlignment="1">
      <alignment horizontal="right"/>
    </xf>
    <xf numFmtId="41" fontId="21" fillId="0" borderId="0" xfId="0" applyNumberFormat="1" applyFont="1" applyAlignment="1">
      <alignment horizontal="right"/>
    </xf>
    <xf numFmtId="41" fontId="16" fillId="0" borderId="0" xfId="0" applyNumberFormat="1" applyFont="1"/>
    <xf numFmtId="167" fontId="2" fillId="0" borderId="0" xfId="0" applyNumberFormat="1" applyFont="1"/>
    <xf numFmtId="0" fontId="1" fillId="0" borderId="0" xfId="1" applyFont="1"/>
    <xf numFmtId="0" fontId="15" fillId="0" borderId="0" xfId="1" applyFont="1"/>
    <xf numFmtId="14" fontId="2" fillId="0" borderId="0" xfId="1" applyNumberFormat="1" applyFont="1"/>
    <xf numFmtId="14" fontId="2" fillId="0" borderId="0" xfId="1" applyNumberFormat="1" applyFont="1" applyAlignment="1">
      <alignment horizontal="right"/>
    </xf>
    <xf numFmtId="167" fontId="2" fillId="0" borderId="0" xfId="1" applyNumberFormat="1" applyFont="1" applyAlignment="1">
      <alignment horizontal="right"/>
    </xf>
    <xf numFmtId="0" fontId="1" fillId="0" borderId="1" xfId="1" applyFont="1" applyBorder="1"/>
    <xf numFmtId="0" fontId="15" fillId="0" borderId="1" xfId="1" applyFont="1" applyBorder="1"/>
    <xf numFmtId="0" fontId="1" fillId="0" borderId="1" xfId="1" applyFont="1" applyBorder="1" applyAlignment="1">
      <alignment horizontal="centerContinuous"/>
    </xf>
    <xf numFmtId="0" fontId="15" fillId="0" borderId="1" xfId="1" applyFont="1" applyBorder="1" applyAlignment="1">
      <alignment horizontal="centerContinuous"/>
    </xf>
    <xf numFmtId="0" fontId="3" fillId="0" borderId="0" xfId="1" applyFont="1" applyAlignment="1">
      <alignment horizontal="center"/>
    </xf>
    <xf numFmtId="14" fontId="17" fillId="0" borderId="0" xfId="2" applyNumberFormat="1" applyFont="1" applyAlignment="1">
      <alignment horizontal="center"/>
    </xf>
    <xf numFmtId="0" fontId="0" fillId="0" borderId="0" xfId="1" applyFont="1"/>
    <xf numFmtId="41" fontId="15" fillId="0" borderId="0" xfId="1" applyNumberFormat="1" applyFont="1"/>
    <xf numFmtId="41" fontId="24" fillId="0" borderId="0" xfId="1" applyNumberFormat="1" applyFont="1"/>
    <xf numFmtId="41" fontId="4" fillId="0" borderId="0" xfId="1" applyNumberFormat="1" applyFont="1"/>
    <xf numFmtId="43" fontId="15" fillId="0" borderId="0" xfId="1" applyNumberFormat="1" applyFont="1"/>
    <xf numFmtId="0" fontId="2" fillId="0" borderId="0" xfId="1" applyFont="1" applyAlignment="1">
      <alignment horizontal="left" indent="1"/>
    </xf>
    <xf numFmtId="165" fontId="10" fillId="0" borderId="0" xfId="1" applyNumberFormat="1" applyFont="1"/>
    <xf numFmtId="165" fontId="25" fillId="0" borderId="0" xfId="1" applyNumberFormat="1" applyFont="1"/>
    <xf numFmtId="41" fontId="2" fillId="0" borderId="0" xfId="1" applyNumberFormat="1" applyFont="1"/>
    <xf numFmtId="168" fontId="2" fillId="0" borderId="0" xfId="1" applyNumberFormat="1" applyFont="1"/>
    <xf numFmtId="0" fontId="2" fillId="0" borderId="0" xfId="1" applyFont="1"/>
    <xf numFmtId="0" fontId="2" fillId="0" borderId="0" xfId="3" applyFont="1" applyAlignment="1">
      <alignment horizontal="left" indent="1"/>
    </xf>
    <xf numFmtId="165" fontId="2" fillId="0" borderId="0" xfId="1" applyNumberFormat="1" applyFont="1"/>
    <xf numFmtId="166" fontId="2" fillId="0" borderId="0" xfId="1" applyNumberFormat="1" applyFont="1"/>
    <xf numFmtId="166" fontId="25" fillId="0" borderId="0" xfId="1" applyNumberFormat="1" applyFont="1"/>
    <xf numFmtId="9" fontId="15" fillId="0" borderId="0" xfId="4" applyFont="1"/>
    <xf numFmtId="169" fontId="15" fillId="0" borderId="0" xfId="5" applyNumberFormat="1" applyFont="1"/>
    <xf numFmtId="41" fontId="26" fillId="0" borderId="0" xfId="1" applyNumberFormat="1" applyFont="1"/>
    <xf numFmtId="41" fontId="21" fillId="0" borderId="0" xfId="1" applyNumberFormat="1" applyFont="1"/>
    <xf numFmtId="0" fontId="15" fillId="0" borderId="0" xfId="1" applyFont="1" applyAlignment="1">
      <alignment horizontal="left" indent="1"/>
    </xf>
    <xf numFmtId="0" fontId="2" fillId="0" borderId="0" xfId="3" applyFont="1" applyAlignment="1">
      <alignment horizontal="left" indent="2"/>
    </xf>
    <xf numFmtId="0" fontId="2" fillId="0" borderId="0" xfId="1" applyFont="1" applyAlignment="1">
      <alignment horizontal="left" indent="2"/>
    </xf>
    <xf numFmtId="169" fontId="15" fillId="0" borderId="0" xfId="6" applyNumberFormat="1"/>
    <xf numFmtId="0" fontId="11" fillId="0" borderId="0" xfId="1" applyFont="1"/>
    <xf numFmtId="10" fontId="15" fillId="0" borderId="0" xfId="6" applyNumberFormat="1"/>
    <xf numFmtId="166" fontId="2" fillId="0" borderId="0" xfId="1" applyNumberFormat="1" applyFont="1" applyAlignment="1">
      <alignment horizontal="right"/>
    </xf>
    <xf numFmtId="0" fontId="9" fillId="0" borderId="0" xfId="1" applyFont="1" applyAlignment="1">
      <alignment horizontal="left" indent="1"/>
    </xf>
    <xf numFmtId="41" fontId="27" fillId="0" borderId="0" xfId="1" applyNumberFormat="1" applyFont="1"/>
    <xf numFmtId="41" fontId="16" fillId="0" borderId="0" xfId="1" applyNumberFormat="1" applyFont="1"/>
    <xf numFmtId="41" fontId="8" fillId="0" borderId="0" xfId="1" applyNumberFormat="1" applyFont="1"/>
    <xf numFmtId="41" fontId="7" fillId="0" borderId="0" xfId="1" applyNumberFormat="1" applyFont="1"/>
    <xf numFmtId="41" fontId="17" fillId="0" borderId="0" xfId="1" applyNumberFormat="1" applyFont="1"/>
    <xf numFmtId="0" fontId="2" fillId="0" borderId="0" xfId="1" quotePrefix="1" applyFont="1" applyAlignment="1">
      <alignment horizontal="left" indent="2"/>
    </xf>
    <xf numFmtId="170" fontId="2" fillId="0" borderId="0" xfId="1" applyNumberFormat="1" applyFont="1"/>
    <xf numFmtId="170" fontId="25" fillId="0" borderId="0" xfId="1" applyNumberFormat="1" applyFont="1"/>
    <xf numFmtId="0" fontId="15" fillId="0" borderId="0" xfId="1" applyFont="1" applyAlignment="1">
      <alignment horizontal="left" indent="2"/>
    </xf>
    <xf numFmtId="171" fontId="2" fillId="0" borderId="0" xfId="1" applyNumberFormat="1" applyFont="1"/>
    <xf numFmtId="171" fontId="19" fillId="0" borderId="4" xfId="1" applyNumberFormat="1" applyFont="1" applyBorder="1"/>
    <xf numFmtId="0" fontId="15" fillId="0" borderId="0" xfId="1" applyFont="1" applyAlignment="1">
      <alignment horizontal="left"/>
    </xf>
    <xf numFmtId="170" fontId="15" fillId="0" borderId="0" xfId="1" applyNumberFormat="1" applyFont="1"/>
    <xf numFmtId="0" fontId="0" fillId="0" borderId="0" xfId="1" applyFont="1" applyAlignment="1">
      <alignment horizontal="left"/>
    </xf>
    <xf numFmtId="7" fontId="15" fillId="0" borderId="0" xfId="1" applyNumberFormat="1" applyFont="1"/>
    <xf numFmtId="170" fontId="21" fillId="0" borderId="0" xfId="1" applyNumberFormat="1" applyFont="1"/>
    <xf numFmtId="41" fontId="3" fillId="0" borderId="0" xfId="1" applyNumberFormat="1" applyFont="1" applyAlignment="1">
      <alignment horizontal="center"/>
    </xf>
    <xf numFmtId="41" fontId="15" fillId="0" borderId="0" xfId="1" applyNumberFormat="1" applyFont="1" applyAlignment="1">
      <alignment horizontal="right"/>
    </xf>
    <xf numFmtId="0" fontId="1" fillId="2" borderId="2" xfId="1" applyFont="1" applyFill="1" applyBorder="1"/>
    <xf numFmtId="41" fontId="1" fillId="2" borderId="5" xfId="1" applyNumberFormat="1" applyFont="1" applyFill="1" applyBorder="1"/>
    <xf numFmtId="171" fontId="1" fillId="2" borderId="3" xfId="1" applyNumberFormat="1" applyFont="1" applyFill="1" applyBorder="1"/>
    <xf numFmtId="10" fontId="15" fillId="0" borderId="0" xfId="6" applyNumberFormat="1" applyFont="1"/>
    <xf numFmtId="0" fontId="1" fillId="0" borderId="2" xfId="1" applyFont="1" applyBorder="1" applyAlignment="1">
      <alignment horizontal="centerContinuous"/>
    </xf>
    <xf numFmtId="0" fontId="1" fillId="0" borderId="5" xfId="1" applyFont="1" applyBorder="1" applyAlignment="1">
      <alignment horizontal="centerContinuous"/>
    </xf>
    <xf numFmtId="0" fontId="1" fillId="0" borderId="3" xfId="1" applyFont="1" applyBorder="1" applyAlignment="1">
      <alignment horizontal="centerContinuous"/>
    </xf>
    <xf numFmtId="43" fontId="5" fillId="0" borderId="0" xfId="1" applyNumberFormat="1" applyFont="1"/>
    <xf numFmtId="9" fontId="15" fillId="0" borderId="0" xfId="6" applyFont="1"/>
    <xf numFmtId="43" fontId="8" fillId="0" borderId="0" xfId="1" applyNumberFormat="1" applyFont="1"/>
    <xf numFmtId="41" fontId="10" fillId="0" borderId="0" xfId="1" applyNumberFormat="1" applyFont="1"/>
    <xf numFmtId="172" fontId="5" fillId="0" borderId="0" xfId="1" applyNumberFormat="1" applyFont="1"/>
    <xf numFmtId="172" fontId="4" fillId="0" borderId="0" xfId="1" applyNumberFormat="1" applyFont="1"/>
    <xf numFmtId="0" fontId="18" fillId="0" borderId="0" xfId="1" applyFont="1"/>
    <xf numFmtId="41" fontId="18" fillId="0" borderId="0" xfId="1" applyNumberFormat="1" applyFont="1"/>
    <xf numFmtId="164" fontId="10" fillId="0" borderId="0" xfId="0" applyNumberFormat="1" applyFont="1"/>
    <xf numFmtId="0" fontId="0" fillId="0" borderId="0" xfId="1" applyFont="1" applyAlignment="1">
      <alignment horizontal="left" indent="1"/>
    </xf>
    <xf numFmtId="43" fontId="4" fillId="0" borderId="0" xfId="1" applyNumberFormat="1" applyFont="1"/>
    <xf numFmtId="164" fontId="18" fillId="0" borderId="0" xfId="1" applyNumberFormat="1" applyFont="1" applyAlignment="1">
      <alignment horizontal="center"/>
    </xf>
    <xf numFmtId="0" fontId="15" fillId="0" borderId="0" xfId="3"/>
    <xf numFmtId="41" fontId="5" fillId="0" borderId="0" xfId="1" applyNumberFormat="1" applyFont="1"/>
    <xf numFmtId="41" fontId="4" fillId="0" borderId="0" xfId="2" applyNumberFormat="1" applyFont="1" applyAlignment="1">
      <alignment horizontal="center"/>
    </xf>
    <xf numFmtId="41" fontId="7" fillId="0" borderId="0" xfId="2" applyNumberFormat="1" applyFont="1" applyAlignment="1">
      <alignment horizontal="center"/>
    </xf>
    <xf numFmtId="166" fontId="7" fillId="0" borderId="0" xfId="1" applyNumberFormat="1" applyFont="1"/>
    <xf numFmtId="166" fontId="21" fillId="0" borderId="0" xfId="1" applyNumberFormat="1" applyFont="1"/>
    <xf numFmtId="165" fontId="28" fillId="0" borderId="0" xfId="1" applyNumberFormat="1" applyFont="1"/>
    <xf numFmtId="165" fontId="10" fillId="0" borderId="0" xfId="1" applyNumberFormat="1" applyFont="1" applyAlignment="1">
      <alignment horizontal="right"/>
    </xf>
    <xf numFmtId="9" fontId="15" fillId="0" borderId="0" xfId="7" applyFont="1"/>
    <xf numFmtId="169" fontId="2" fillId="0" borderId="0" xfId="7" applyNumberFormat="1" applyFont="1"/>
    <xf numFmtId="173" fontId="15" fillId="0" borderId="0" xfId="1" applyNumberFormat="1" applyFont="1"/>
    <xf numFmtId="41" fontId="25" fillId="0" borderId="0" xfId="0" applyNumberFormat="1" applyFont="1"/>
    <xf numFmtId="41" fontId="2" fillId="0" borderId="0" xfId="0" applyNumberFormat="1" applyFont="1" applyAlignment="1">
      <alignment horizontal="right"/>
    </xf>
    <xf numFmtId="165" fontId="29" fillId="0" borderId="0" xfId="1" applyNumberFormat="1" applyFont="1" applyAlignment="1">
      <alignment horizontal="right"/>
    </xf>
    <xf numFmtId="165" fontId="30" fillId="0" borderId="0" xfId="1" applyNumberFormat="1" applyFont="1"/>
    <xf numFmtId="166" fontId="10" fillId="0" borderId="0" xfId="1" applyNumberFormat="1" applyFont="1" applyAlignment="1">
      <alignment horizontal="right"/>
    </xf>
    <xf numFmtId="166" fontId="29" fillId="0" borderId="0" xfId="1" applyNumberFormat="1" applyFont="1" applyAlignment="1">
      <alignment horizontal="right"/>
    </xf>
    <xf numFmtId="166" fontId="30" fillId="0" borderId="0" xfId="1" applyNumberFormat="1" applyFont="1"/>
    <xf numFmtId="166" fontId="4" fillId="0" borderId="0" xfId="1" applyNumberFormat="1" applyFont="1"/>
    <xf numFmtId="166" fontId="10" fillId="0" borderId="0" xfId="1" applyNumberFormat="1" applyFont="1"/>
    <xf numFmtId="41" fontId="12" fillId="0" borderId="0" xfId="1" applyNumberFormat="1" applyFont="1"/>
    <xf numFmtId="0" fontId="2" fillId="0" borderId="0" xfId="1" applyFont="1" applyAlignment="1">
      <alignment horizontal="left" indent="3"/>
    </xf>
    <xf numFmtId="169" fontId="0" fillId="0" borderId="0" xfId="7" applyNumberFormat="1" applyFont="1"/>
    <xf numFmtId="166" fontId="31" fillId="0" borderId="0" xfId="1" applyNumberFormat="1" applyFont="1" applyAlignment="1">
      <alignment horizontal="right"/>
    </xf>
    <xf numFmtId="14" fontId="0" fillId="0" borderId="0" xfId="0" applyNumberFormat="1"/>
    <xf numFmtId="41" fontId="24" fillId="0" borderId="0" xfId="0" applyNumberFormat="1" applyFont="1"/>
    <xf numFmtId="41" fontId="26" fillId="0" borderId="0" xfId="0" applyNumberFormat="1" applyFont="1"/>
    <xf numFmtId="0" fontId="32" fillId="0" borderId="0" xfId="0" applyFont="1" applyAlignment="1">
      <alignment horizontal="center"/>
    </xf>
    <xf numFmtId="0" fontId="0" fillId="0" borderId="6" xfId="0" applyBorder="1"/>
    <xf numFmtId="0" fontId="1" fillId="0" borderId="6" xfId="0" applyFont="1" applyBorder="1" applyAlignment="1">
      <alignment horizontal="centerContinuous"/>
    </xf>
    <xf numFmtId="165" fontId="2" fillId="3" borderId="0" xfId="0" applyNumberFormat="1" applyFont="1" applyFill="1" applyAlignment="1">
      <alignment horizontal="right"/>
    </xf>
    <xf numFmtId="165" fontId="12" fillId="3" borderId="0" xfId="0" applyNumberFormat="1" applyFont="1" applyFill="1" applyAlignment="1">
      <alignment horizontal="right"/>
    </xf>
    <xf numFmtId="0" fontId="0" fillId="3" borderId="0" xfId="0" applyFill="1"/>
    <xf numFmtId="165" fontId="25" fillId="0" borderId="0" xfId="0" applyNumberFormat="1" applyFont="1" applyAlignment="1">
      <alignment horizontal="right"/>
    </xf>
    <xf numFmtId="165" fontId="30" fillId="0" borderId="0" xfId="0" applyNumberFormat="1" applyFont="1" applyAlignment="1">
      <alignment horizontal="right"/>
    </xf>
    <xf numFmtId="165" fontId="25" fillId="0" borderId="0" xfId="0" applyNumberFormat="1" applyFont="1"/>
    <xf numFmtId="0" fontId="1" fillId="0" borderId="0" xfId="0" applyFont="1" applyAlignment="1">
      <alignment horizontal="centerContinuous"/>
    </xf>
    <xf numFmtId="0" fontId="0" fillId="0" borderId="0" xfId="0" applyAlignment="1">
      <alignment horizontal="centerContinuous"/>
    </xf>
    <xf numFmtId="165" fontId="10" fillId="0" borderId="0" xfId="0" applyNumberFormat="1" applyFont="1" applyAlignment="1">
      <alignment horizontal="right"/>
    </xf>
    <xf numFmtId="41" fontId="28" fillId="0" borderId="0" xfId="0" applyNumberFormat="1" applyFont="1"/>
    <xf numFmtId="167" fontId="5" fillId="0" borderId="0" xfId="0" applyNumberFormat="1" applyFont="1" applyAlignment="1">
      <alignment horizontal="center"/>
    </xf>
    <xf numFmtId="167" fontId="4" fillId="0" borderId="0" xfId="0" applyNumberFormat="1" applyFont="1" applyAlignment="1">
      <alignment horizontal="center"/>
    </xf>
    <xf numFmtId="164" fontId="35" fillId="0" borderId="0" xfId="0" applyNumberFormat="1" applyFont="1"/>
    <xf numFmtId="164" fontId="0" fillId="0" borderId="0" xfId="0" applyNumberFormat="1"/>
    <xf numFmtId="41" fontId="10" fillId="0" borderId="0" xfId="0" applyNumberFormat="1" applyFont="1"/>
    <xf numFmtId="165" fontId="29" fillId="0" borderId="0" xfId="0" applyNumberFormat="1" applyFont="1" applyAlignment="1">
      <alignment horizontal="right"/>
    </xf>
    <xf numFmtId="0" fontId="0" fillId="0" borderId="0" xfId="0" applyAlignment="1">
      <alignment horizontal="left" indent="2"/>
    </xf>
    <xf numFmtId="166" fontId="16" fillId="0" borderId="0" xfId="0" applyNumberFormat="1" applyFont="1"/>
    <xf numFmtId="166" fontId="36" fillId="0" borderId="0" xfId="0" applyNumberFormat="1" applyFont="1"/>
    <xf numFmtId="0" fontId="0" fillId="0" borderId="0" xfId="0" applyAlignment="1">
      <alignment horizontal="left"/>
    </xf>
    <xf numFmtId="166" fontId="14" fillId="0" borderId="0" xfId="0" applyNumberFormat="1" applyFont="1" applyAlignment="1">
      <alignment horizontal="right"/>
    </xf>
    <xf numFmtId="166" fontId="4" fillId="0" borderId="0" xfId="0" applyNumberFormat="1" applyFont="1" applyAlignment="1">
      <alignment horizontal="right"/>
    </xf>
    <xf numFmtId="166" fontId="7" fillId="0" borderId="0" xfId="0" applyNumberFormat="1" applyFont="1" applyAlignment="1">
      <alignment horizontal="right"/>
    </xf>
    <xf numFmtId="166" fontId="37" fillId="0" borderId="0" xfId="0" applyNumberFormat="1" applyFont="1"/>
    <xf numFmtId="41" fontId="25" fillId="0" borderId="0" xfId="1" applyNumberFormat="1" applyFont="1"/>
    <xf numFmtId="0" fontId="0" fillId="0" borderId="1" xfId="0" applyBorder="1"/>
    <xf numFmtId="0" fontId="1" fillId="0" borderId="1" xfId="0" applyFont="1" applyBorder="1" applyAlignment="1">
      <alignment horizontal="center"/>
    </xf>
    <xf numFmtId="41" fontId="27" fillId="0" borderId="0" xfId="0" applyNumberFormat="1" applyFont="1"/>
    <xf numFmtId="0" fontId="38" fillId="0" borderId="0" xfId="0" applyFont="1"/>
    <xf numFmtId="41" fontId="20" fillId="0" borderId="0" xfId="0" applyNumberFormat="1" applyFont="1" applyAlignment="1">
      <alignment horizontal="right"/>
    </xf>
    <xf numFmtId="41" fontId="12" fillId="0" borderId="0" xfId="0" applyNumberFormat="1" applyFont="1"/>
    <xf numFmtId="166" fontId="10" fillId="0" borderId="0" xfId="0" applyNumberFormat="1" applyFont="1" applyAlignment="1">
      <alignment horizontal="right"/>
    </xf>
    <xf numFmtId="166" fontId="25" fillId="0" borderId="0" xfId="0" applyNumberFormat="1" applyFont="1" applyAlignment="1">
      <alignment horizontal="right"/>
    </xf>
    <xf numFmtId="166" fontId="29" fillId="0" borderId="0" xfId="0" applyNumberFormat="1" applyFont="1" applyAlignment="1">
      <alignment horizontal="right"/>
    </xf>
    <xf numFmtId="0" fontId="1" fillId="0" borderId="1" xfId="0" applyFont="1" applyBorder="1" applyAlignment="1">
      <alignment horizontal="left"/>
    </xf>
    <xf numFmtId="0" fontId="1" fillId="0" borderId="1" xfId="0" applyFont="1" applyBorder="1" applyAlignment="1">
      <alignment horizontal="center" wrapText="1"/>
    </xf>
    <xf numFmtId="0" fontId="0" fillId="0" borderId="4" xfId="0" applyBorder="1" applyAlignment="1">
      <alignment vertical="center"/>
    </xf>
    <xf numFmtId="167" fontId="0" fillId="0" borderId="4" xfId="0" applyNumberFormat="1" applyBorder="1" applyAlignment="1">
      <alignment horizontal="left" vertical="center"/>
    </xf>
    <xf numFmtId="41" fontId="24" fillId="0" borderId="4" xfId="0" applyNumberFormat="1" applyFont="1" applyBorder="1" applyAlignment="1">
      <alignment vertical="center"/>
    </xf>
    <xf numFmtId="166" fontId="24" fillId="0" borderId="4" xfId="0" applyNumberFormat="1" applyFont="1" applyBorder="1" applyAlignment="1">
      <alignment vertical="center"/>
    </xf>
    <xf numFmtId="166" fontId="30" fillId="0" borderId="0" xfId="0" applyNumberFormat="1" applyFont="1" applyAlignment="1">
      <alignment horizontal="right"/>
    </xf>
    <xf numFmtId="9" fontId="0" fillId="0" borderId="0" xfId="7" applyFont="1"/>
    <xf numFmtId="43" fontId="1" fillId="0" borderId="0" xfId="0" applyNumberFormat="1" applyFont="1"/>
    <xf numFmtId="164" fontId="15" fillId="0" borderId="0" xfId="1" applyNumberFormat="1" applyFont="1"/>
    <xf numFmtId="168" fontId="15" fillId="0" borderId="0" xfId="1" applyNumberFormat="1" applyFont="1"/>
    <xf numFmtId="0" fontId="19" fillId="0" borderId="1" xfId="0" applyFont="1" applyBorder="1" applyAlignment="1">
      <alignment horizontal="centerContinuous"/>
    </xf>
    <xf numFmtId="174" fontId="0" fillId="0" borderId="0" xfId="0" applyNumberFormat="1"/>
    <xf numFmtId="41" fontId="35" fillId="0" borderId="0" xfId="0" applyNumberFormat="1" applyFont="1"/>
    <xf numFmtId="172" fontId="0" fillId="0" borderId="0" xfId="0" applyNumberFormat="1"/>
    <xf numFmtId="172" fontId="2" fillId="0" borderId="0" xfId="0" applyNumberFormat="1" applyFont="1" applyAlignment="1">
      <alignment horizontal="right"/>
    </xf>
    <xf numFmtId="0" fontId="4" fillId="0" borderId="0" xfId="0" applyFont="1"/>
    <xf numFmtId="165" fontId="10" fillId="0" borderId="0" xfId="0" applyNumberFormat="1" applyFont="1"/>
    <xf numFmtId="165" fontId="29" fillId="0" borderId="0" xfId="0" applyNumberFormat="1" applyFont="1"/>
    <xf numFmtId="0" fontId="2" fillId="0" borderId="0" xfId="1" applyFont="1" applyAlignment="1">
      <alignment horizontal="left"/>
    </xf>
    <xf numFmtId="0" fontId="0" fillId="0" borderId="4" xfId="0" applyBorder="1" applyAlignment="1">
      <alignment vertical="top" wrapText="1"/>
    </xf>
    <xf numFmtId="9" fontId="1" fillId="0" borderId="0" xfId="7" applyFont="1"/>
    <xf numFmtId="165" fontId="0" fillId="0" borderId="0" xfId="0" applyNumberFormat="1"/>
    <xf numFmtId="165" fontId="28" fillId="0" borderId="0" xfId="0" applyNumberFormat="1" applyFont="1"/>
    <xf numFmtId="166" fontId="0" fillId="0" borderId="0" xfId="0" applyNumberFormat="1"/>
    <xf numFmtId="41" fontId="25" fillId="0" borderId="0" xfId="0" applyNumberFormat="1" applyFont="1" applyAlignment="1">
      <alignment horizontal="right"/>
    </xf>
    <xf numFmtId="41" fontId="42" fillId="0" borderId="0" xfId="0" applyNumberFormat="1" applyFont="1" applyAlignment="1">
      <alignment horizontal="right"/>
    </xf>
    <xf numFmtId="10" fontId="0" fillId="0" borderId="0" xfId="7" applyNumberFormat="1" applyFont="1"/>
    <xf numFmtId="41" fontId="31" fillId="0" borderId="0" xfId="0" applyNumberFormat="1" applyFont="1"/>
    <xf numFmtId="41" fontId="29" fillId="0" borderId="0" xfId="0" applyNumberFormat="1" applyFont="1"/>
    <xf numFmtId="41" fontId="28" fillId="0" borderId="0" xfId="0" applyNumberFormat="1" applyFont="1" applyAlignment="1">
      <alignment horizontal="right"/>
    </xf>
    <xf numFmtId="41" fontId="31" fillId="0" borderId="0" xfId="0" applyNumberFormat="1" applyFont="1" applyAlignment="1">
      <alignment horizontal="right"/>
    </xf>
    <xf numFmtId="41" fontId="29" fillId="0" borderId="0" xfId="0" applyNumberFormat="1" applyFont="1" applyAlignment="1">
      <alignment horizontal="right"/>
    </xf>
    <xf numFmtId="41" fontId="27" fillId="0" borderId="0" xfId="0" applyNumberFormat="1" applyFont="1" applyAlignment="1">
      <alignment horizontal="right"/>
    </xf>
    <xf numFmtId="41" fontId="30" fillId="0" borderId="0" xfId="0" applyNumberFormat="1" applyFont="1" applyAlignment="1">
      <alignment horizontal="right"/>
    </xf>
    <xf numFmtId="167" fontId="0" fillId="0" borderId="0" xfId="0" applyNumberFormat="1" applyAlignment="1">
      <alignment horizontal="center"/>
    </xf>
    <xf numFmtId="175" fontId="0" fillId="0" borderId="0" xfId="0" applyNumberFormat="1"/>
    <xf numFmtId="175" fontId="1" fillId="0" borderId="0" xfId="0" applyNumberFormat="1" applyFont="1"/>
    <xf numFmtId="176" fontId="2" fillId="0" borderId="0" xfId="0" applyNumberFormat="1" applyFont="1" applyAlignment="1">
      <alignment horizontal="right"/>
    </xf>
    <xf numFmtId="176" fontId="25" fillId="0" borderId="0" xfId="0" applyNumberFormat="1" applyFont="1"/>
    <xf numFmtId="176" fontId="30" fillId="0" borderId="0" xfId="0" applyNumberFormat="1" applyFont="1"/>
    <xf numFmtId="176" fontId="10" fillId="0" borderId="0" xfId="0" applyNumberFormat="1" applyFont="1"/>
    <xf numFmtId="177" fontId="10" fillId="0" borderId="0" xfId="0" applyNumberFormat="1" applyFont="1"/>
    <xf numFmtId="177" fontId="29" fillId="0" borderId="0" xfId="0" applyNumberFormat="1" applyFont="1"/>
    <xf numFmtId="177" fontId="4" fillId="0" borderId="0" xfId="0" applyNumberFormat="1" applyFont="1"/>
    <xf numFmtId="175" fontId="8" fillId="0" borderId="0" xfId="0" applyNumberFormat="1" applyFont="1"/>
    <xf numFmtId="177" fontId="29" fillId="2" borderId="0" xfId="0" applyNumberFormat="1" applyFont="1" applyFill="1"/>
    <xf numFmtId="175" fontId="5" fillId="0" borderId="0" xfId="0" applyNumberFormat="1" applyFont="1"/>
    <xf numFmtId="175" fontId="6" fillId="0" borderId="0" xfId="0" applyNumberFormat="1" applyFont="1"/>
    <xf numFmtId="175" fontId="4" fillId="0" borderId="0" xfId="0" applyNumberFormat="1" applyFont="1"/>
    <xf numFmtId="175" fontId="21" fillId="0" borderId="0" xfId="0" applyNumberFormat="1" applyFont="1"/>
    <xf numFmtId="0" fontId="2" fillId="0" borderId="0" xfId="0" applyFont="1" applyAlignment="1">
      <alignment horizontal="left" indent="5"/>
    </xf>
    <xf numFmtId="0" fontId="11" fillId="0" borderId="0" xfId="0" applyFont="1" applyAlignment="1">
      <alignment horizontal="left"/>
    </xf>
    <xf numFmtId="178" fontId="0" fillId="0" borderId="0" xfId="0" applyNumberFormat="1"/>
    <xf numFmtId="0" fontId="3" fillId="0" borderId="0" xfId="0" applyFont="1" applyAlignment="1">
      <alignment horizontal="center" wrapText="1"/>
    </xf>
    <xf numFmtId="0" fontId="3" fillId="0" borderId="0" xfId="0" quotePrefix="1" applyFont="1" applyAlignment="1">
      <alignment horizontal="center" wrapText="1"/>
    </xf>
    <xf numFmtId="0" fontId="2" fillId="0" borderId="0" xfId="0" applyFont="1" applyAlignment="1">
      <alignment horizontal="center"/>
    </xf>
    <xf numFmtId="41" fontId="21" fillId="2" borderId="0" xfId="0" applyNumberFormat="1" applyFont="1" applyFill="1"/>
    <xf numFmtId="41" fontId="3" fillId="4" borderId="7" xfId="0" applyNumberFormat="1" applyFont="1" applyFill="1" applyBorder="1"/>
    <xf numFmtId="9" fontId="2" fillId="0" borderId="0" xfId="7" applyFont="1"/>
    <xf numFmtId="165" fontId="24" fillId="0" borderId="0" xfId="0" applyNumberFormat="1" applyFont="1"/>
    <xf numFmtId="166" fontId="24" fillId="0" borderId="0" xfId="0" applyNumberFormat="1" applyFont="1"/>
    <xf numFmtId="166" fontId="5" fillId="0" borderId="0" xfId="0" applyNumberFormat="1" applyFont="1" applyAlignment="1">
      <alignment horizontal="right"/>
    </xf>
    <xf numFmtId="166" fontId="28" fillId="0" borderId="0" xfId="0" applyNumberFormat="1" applyFont="1"/>
    <xf numFmtId="0" fontId="1" fillId="0" borderId="4" xfId="0" applyFont="1" applyBorder="1"/>
    <xf numFmtId="165" fontId="5" fillId="0" borderId="0" xfId="0" applyNumberFormat="1" applyFont="1" applyAlignment="1">
      <alignment horizontal="right"/>
    </xf>
    <xf numFmtId="41" fontId="24" fillId="0" borderId="0" xfId="0" applyNumberFormat="1" applyFont="1" applyAlignment="1">
      <alignment horizontal="right"/>
    </xf>
    <xf numFmtId="41" fontId="44" fillId="0" borderId="0" xfId="0" applyNumberFormat="1" applyFont="1" applyAlignment="1">
      <alignment horizontal="right"/>
    </xf>
    <xf numFmtId="0" fontId="2" fillId="0" borderId="0" xfId="0" applyFont="1" applyAlignment="1">
      <alignment horizontal="left" indent="3"/>
    </xf>
    <xf numFmtId="169" fontId="5" fillId="0" borderId="0" xfId="7" applyNumberFormat="1" applyFont="1"/>
    <xf numFmtId="165" fontId="27" fillId="0" borderId="0" xfId="0" applyNumberFormat="1" applyFont="1"/>
    <xf numFmtId="165" fontId="44" fillId="0" borderId="0" xfId="0" applyNumberFormat="1" applyFont="1"/>
    <xf numFmtId="41" fontId="45" fillId="0" borderId="0" xfId="0" applyNumberFormat="1" applyFont="1"/>
    <xf numFmtId="0" fontId="9" fillId="0" borderId="0" xfId="0" applyFont="1" applyAlignment="1">
      <alignment horizontal="left" indent="2"/>
    </xf>
    <xf numFmtId="165" fontId="27" fillId="0" borderId="0" xfId="0" applyNumberFormat="1" applyFont="1" applyAlignment="1">
      <alignment horizontal="right"/>
    </xf>
    <xf numFmtId="165" fontId="44" fillId="0" borderId="0" xfId="0" applyNumberFormat="1" applyFont="1" applyAlignment="1">
      <alignment horizontal="right"/>
    </xf>
    <xf numFmtId="9" fontId="24" fillId="0" borderId="0" xfId="7" applyFont="1"/>
    <xf numFmtId="9" fontId="25" fillId="0" borderId="0" xfId="7" applyFont="1"/>
    <xf numFmtId="43" fontId="20" fillId="0" borderId="0" xfId="1" applyNumberFormat="1" applyFont="1"/>
  </cellXfs>
  <cellStyles count="8">
    <cellStyle name="Normal" xfId="0" builtinId="0"/>
    <cellStyle name="Normal 2 2" xfId="1" xr:uid="{0B6691CF-8104-4F09-84D9-3096555C985B}"/>
    <cellStyle name="Normal 3" xfId="3" xr:uid="{B8D5E0CF-030D-4556-B722-0B55FEB6A28C}"/>
    <cellStyle name="Percent" xfId="7" builtinId="5"/>
    <cellStyle name="Percent 2" xfId="2" xr:uid="{D7A2626D-447E-4EA8-A36D-0F6A6E7E2CD5}"/>
    <cellStyle name="Percent 2 2 2" xfId="5" xr:uid="{876D5385-7956-4D50-920F-67172BF950C2}"/>
    <cellStyle name="Percent 3" xfId="4" xr:uid="{196DD5B0-2AFF-4507-B643-42EDD054ADD2}"/>
    <cellStyle name="Percent 3 2" xfId="6" xr:uid="{45294EAF-3AEF-4CCF-8E5B-20E0B2A9FE96}"/>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Financial Profile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Revenue</c:v>
          </c:tx>
          <c:spPr>
            <a:solidFill>
              <a:schemeClr val="accent1"/>
            </a:solidFill>
            <a:ln>
              <a:noFill/>
            </a:ln>
            <a:effectLst/>
          </c:spPr>
          <c:invertIfNegative val="0"/>
          <c:cat>
            <c:strRef>
              <c:f>'Historical Financials'!$AO$6:$AW$6</c:f>
              <c:strCache>
                <c:ptCount val="9"/>
                <c:pt idx="0">
                  <c:v>FY16</c:v>
                </c:pt>
                <c:pt idx="1">
                  <c:v>FY17</c:v>
                </c:pt>
                <c:pt idx="2">
                  <c:v>FY18</c:v>
                </c:pt>
                <c:pt idx="3">
                  <c:v>FY19</c:v>
                </c:pt>
                <c:pt idx="4">
                  <c:v>FY20</c:v>
                </c:pt>
                <c:pt idx="5">
                  <c:v>FY21</c:v>
                </c:pt>
                <c:pt idx="6">
                  <c:v>FY22</c:v>
                </c:pt>
                <c:pt idx="7">
                  <c:v>FY23</c:v>
                </c:pt>
                <c:pt idx="8">
                  <c:v>FY24e</c:v>
                </c:pt>
              </c:strCache>
            </c:strRef>
          </c:cat>
          <c:val>
            <c:numRef>
              <c:f>'Historical Financials'!$AO$16:$AW$16</c:f>
              <c:numCache>
                <c:formatCode>_(* #,##0_);_(* \(#,##0\);_(* "-"_);_(@_)</c:formatCode>
                <c:ptCount val="9"/>
                <c:pt idx="0">
                  <c:v>504.86400000000003</c:v>
                </c:pt>
                <c:pt idx="1">
                  <c:v>1744.0760000000002</c:v>
                </c:pt>
                <c:pt idx="2">
                  <c:v>13119.990000000002</c:v>
                </c:pt>
                <c:pt idx="3">
                  <c:v>30141.885999999999</c:v>
                </c:pt>
                <c:pt idx="4">
                  <c:v>59491.865000000005</c:v>
                </c:pt>
                <c:pt idx="5">
                  <c:v>93949.938999999998</c:v>
                </c:pt>
                <c:pt idx="6">
                  <c:v>130557.58900000001</c:v>
                </c:pt>
                <c:pt idx="7">
                  <c:v>247639.20499999999</c:v>
                </c:pt>
                <c:pt idx="8">
                  <c:v>393096.29132498021</c:v>
                </c:pt>
              </c:numCache>
            </c:numRef>
          </c:val>
          <c:extLst>
            <c:ext xmlns:c16="http://schemas.microsoft.com/office/drawing/2014/chart" uri="{C3380CC4-5D6E-409C-BE32-E72D297353CC}">
              <c16:uniqueId val="{00000000-D595-4A6D-B493-2E1004C8FEE4}"/>
            </c:ext>
          </c:extLst>
        </c:ser>
        <c:ser>
          <c:idx val="1"/>
          <c:order val="1"/>
          <c:tx>
            <c:v>EBITDA - Capex</c:v>
          </c:tx>
          <c:spPr>
            <a:solidFill>
              <a:schemeClr val="accent2"/>
            </a:solidFill>
            <a:ln>
              <a:noFill/>
            </a:ln>
            <a:effectLst/>
          </c:spPr>
          <c:invertIfNegative val="0"/>
          <c:cat>
            <c:strRef>
              <c:f>'Historical Financials'!$AO$6:$AW$6</c:f>
              <c:strCache>
                <c:ptCount val="9"/>
                <c:pt idx="0">
                  <c:v>FY16</c:v>
                </c:pt>
                <c:pt idx="1">
                  <c:v>FY17</c:v>
                </c:pt>
                <c:pt idx="2">
                  <c:v>FY18</c:v>
                </c:pt>
                <c:pt idx="3">
                  <c:v>FY19</c:v>
                </c:pt>
                <c:pt idx="4">
                  <c:v>FY20</c:v>
                </c:pt>
                <c:pt idx="5">
                  <c:v>FY21</c:v>
                </c:pt>
                <c:pt idx="6">
                  <c:v>FY22</c:v>
                </c:pt>
                <c:pt idx="7">
                  <c:v>FY23</c:v>
                </c:pt>
                <c:pt idx="8">
                  <c:v>FY24e</c:v>
                </c:pt>
              </c:strCache>
            </c:strRef>
          </c:cat>
          <c:val>
            <c:numRef>
              <c:f>'Historical Financials'!$AO$99:$AW$99</c:f>
              <c:numCache>
                <c:formatCode>_(* #,##0_);_(* \(#,##0\);_(* "-"_);_(@_)</c:formatCode>
                <c:ptCount val="9"/>
                <c:pt idx="0">
                  <c:v>-287.75400000000008</c:v>
                </c:pt>
                <c:pt idx="1">
                  <c:v>-592.38</c:v>
                </c:pt>
                <c:pt idx="2">
                  <c:v>-10330.068999999998</c:v>
                </c:pt>
                <c:pt idx="3">
                  <c:v>-7927.8160000000007</c:v>
                </c:pt>
                <c:pt idx="4">
                  <c:v>-8771.848</c:v>
                </c:pt>
                <c:pt idx="5">
                  <c:v>5104.91</c:v>
                </c:pt>
                <c:pt idx="6">
                  <c:v>31990.374000000018</c:v>
                </c:pt>
                <c:pt idx="7">
                  <c:v>58901.117999999995</c:v>
                </c:pt>
                <c:pt idx="8">
                  <c:v>103485.41427856061</c:v>
                </c:pt>
              </c:numCache>
            </c:numRef>
          </c:val>
          <c:extLst>
            <c:ext xmlns:c16="http://schemas.microsoft.com/office/drawing/2014/chart" uri="{C3380CC4-5D6E-409C-BE32-E72D297353CC}">
              <c16:uniqueId val="{00000001-D595-4A6D-B493-2E1004C8FEE4}"/>
            </c:ext>
          </c:extLst>
        </c:ser>
        <c:dLbls>
          <c:showLegendKey val="0"/>
          <c:showVal val="0"/>
          <c:showCatName val="0"/>
          <c:showSerName val="0"/>
          <c:showPercent val="0"/>
          <c:showBubbleSize val="0"/>
        </c:dLbls>
        <c:gapWidth val="219"/>
        <c:overlap val="-27"/>
        <c:axId val="1380435439"/>
        <c:axId val="1380436879"/>
      </c:barChart>
      <c:catAx>
        <c:axId val="138043543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436879"/>
        <c:crosses val="autoZero"/>
        <c:auto val="1"/>
        <c:lblAlgn val="ctr"/>
        <c:lblOffset val="100"/>
        <c:noMultiLvlLbl val="0"/>
      </c:catAx>
      <c:valAx>
        <c:axId val="1380436879"/>
        <c:scaling>
          <c:orientation val="minMax"/>
        </c:scaling>
        <c:delete val="0"/>
        <c:axPos val="l"/>
        <c:majorGridlines>
          <c:spPr>
            <a:ln w="9525" cap="flat" cmpd="sng" algn="ctr">
              <a:solidFill>
                <a:schemeClr val="tx1">
                  <a:lumMod val="15000"/>
                  <a:lumOff val="85000"/>
                </a:schemeClr>
              </a:solidFill>
              <a:round/>
            </a:ln>
            <a:effectLst/>
          </c:spPr>
        </c:majorGridlines>
        <c:numFmt formatCode="_ [$¥-804]* #,##0_ ;_ [$¥-804]* \-#,##0_ ;_ [$¥-804]* &quot;-&quot;_ ;_ @_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435439"/>
        <c:crosses val="autoZero"/>
        <c:crossBetween val="between"/>
        <c:dispUnits>
          <c:builtInUnit val="thousands"/>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Revenue</c:v>
          </c:tx>
          <c:spPr>
            <a:solidFill>
              <a:schemeClr val="accent1"/>
            </a:solidFill>
            <a:ln>
              <a:noFill/>
            </a:ln>
            <a:effectLst/>
          </c:spPr>
          <c:invertIfNegative val="0"/>
          <c:cat>
            <c:strRef>
              <c:f>'Historical Financials'!$AO$6:$AW$6</c:f>
              <c:strCache>
                <c:ptCount val="9"/>
                <c:pt idx="0">
                  <c:v>FY16</c:v>
                </c:pt>
                <c:pt idx="1">
                  <c:v>FY17</c:v>
                </c:pt>
                <c:pt idx="2">
                  <c:v>FY18</c:v>
                </c:pt>
                <c:pt idx="3">
                  <c:v>FY19</c:v>
                </c:pt>
                <c:pt idx="4">
                  <c:v>FY20</c:v>
                </c:pt>
                <c:pt idx="5">
                  <c:v>FY21</c:v>
                </c:pt>
                <c:pt idx="6">
                  <c:v>FY22</c:v>
                </c:pt>
                <c:pt idx="7">
                  <c:v>FY23</c:v>
                </c:pt>
                <c:pt idx="8">
                  <c:v>FY24e</c:v>
                </c:pt>
              </c:strCache>
            </c:strRef>
          </c:cat>
          <c:val>
            <c:numRef>
              <c:f>'Historical Financials'!$AO$16:$AW$16</c:f>
              <c:numCache>
                <c:formatCode>_(* #,##0_);_(* \(#,##0\);_(* "-"_);_(@_)</c:formatCode>
                <c:ptCount val="9"/>
                <c:pt idx="0">
                  <c:v>504.86400000000003</c:v>
                </c:pt>
                <c:pt idx="1">
                  <c:v>1744.0760000000002</c:v>
                </c:pt>
                <c:pt idx="2">
                  <c:v>13119.990000000002</c:v>
                </c:pt>
                <c:pt idx="3">
                  <c:v>30141.885999999999</c:v>
                </c:pt>
                <c:pt idx="4">
                  <c:v>59491.865000000005</c:v>
                </c:pt>
                <c:pt idx="5">
                  <c:v>93949.938999999998</c:v>
                </c:pt>
                <c:pt idx="6">
                  <c:v>130557.58900000001</c:v>
                </c:pt>
                <c:pt idx="7">
                  <c:v>247639.20499999999</c:v>
                </c:pt>
                <c:pt idx="8">
                  <c:v>393096.29132498021</c:v>
                </c:pt>
              </c:numCache>
            </c:numRef>
          </c:val>
          <c:extLst>
            <c:ext xmlns:c16="http://schemas.microsoft.com/office/drawing/2014/chart" uri="{C3380CC4-5D6E-409C-BE32-E72D297353CC}">
              <c16:uniqueId val="{00000000-7566-4D86-AA66-300525FDCB56}"/>
            </c:ext>
          </c:extLst>
        </c:ser>
        <c:ser>
          <c:idx val="1"/>
          <c:order val="1"/>
          <c:tx>
            <c:v>EBIT</c:v>
          </c:tx>
          <c:spPr>
            <a:solidFill>
              <a:schemeClr val="accent2"/>
            </a:solidFill>
            <a:ln>
              <a:noFill/>
            </a:ln>
            <a:effectLst/>
          </c:spPr>
          <c:invertIfNegative val="0"/>
          <c:cat>
            <c:strRef>
              <c:f>'Historical Financials'!$AO$6:$AW$6</c:f>
              <c:strCache>
                <c:ptCount val="9"/>
                <c:pt idx="0">
                  <c:v>FY16</c:v>
                </c:pt>
                <c:pt idx="1">
                  <c:v>FY17</c:v>
                </c:pt>
                <c:pt idx="2">
                  <c:v>FY18</c:v>
                </c:pt>
                <c:pt idx="3">
                  <c:v>FY19</c:v>
                </c:pt>
                <c:pt idx="4">
                  <c:v>FY20</c:v>
                </c:pt>
                <c:pt idx="5">
                  <c:v>FY21</c:v>
                </c:pt>
                <c:pt idx="6">
                  <c:v>FY22</c:v>
                </c:pt>
                <c:pt idx="7">
                  <c:v>FY23</c:v>
                </c:pt>
                <c:pt idx="8">
                  <c:v>FY24e</c:v>
                </c:pt>
              </c:strCache>
            </c:strRef>
          </c:cat>
          <c:val>
            <c:numRef>
              <c:f>'Historical Financials'!$AO$73:$AW$73</c:f>
              <c:numCache>
                <c:formatCode>_(* #,##0_);_(* \(#,##0\);_(* "-"_);_(@_)</c:formatCode>
                <c:ptCount val="9"/>
                <c:pt idx="0">
                  <c:v>-286.20900000000006</c:v>
                </c:pt>
                <c:pt idx="1">
                  <c:v>-585.72399999999993</c:v>
                </c:pt>
                <c:pt idx="2">
                  <c:v>-10799.740999999998</c:v>
                </c:pt>
                <c:pt idx="3">
                  <c:v>-8538.2110000000011</c:v>
                </c:pt>
                <c:pt idx="4">
                  <c:v>-9380.3249999999989</c:v>
                </c:pt>
                <c:pt idx="5">
                  <c:v>6896.7619999999988</c:v>
                </c:pt>
                <c:pt idx="6">
                  <c:v>30401.921000000017</c:v>
                </c:pt>
                <c:pt idx="7">
                  <c:v>58698.761999999995</c:v>
                </c:pt>
                <c:pt idx="8">
                  <c:v>104374.56574780324</c:v>
                </c:pt>
              </c:numCache>
            </c:numRef>
          </c:val>
          <c:extLst>
            <c:ext xmlns:c16="http://schemas.microsoft.com/office/drawing/2014/chart" uri="{C3380CC4-5D6E-409C-BE32-E72D297353CC}">
              <c16:uniqueId val="{00000001-7566-4D86-AA66-300525FDCB56}"/>
            </c:ext>
          </c:extLst>
        </c:ser>
        <c:dLbls>
          <c:showLegendKey val="0"/>
          <c:showVal val="0"/>
          <c:showCatName val="0"/>
          <c:showSerName val="0"/>
          <c:showPercent val="0"/>
          <c:showBubbleSize val="0"/>
        </c:dLbls>
        <c:gapWidth val="219"/>
        <c:overlap val="-27"/>
        <c:axId val="1854928015"/>
        <c:axId val="1854930415"/>
      </c:barChart>
      <c:catAx>
        <c:axId val="1854928015"/>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930415"/>
        <c:crosses val="autoZero"/>
        <c:auto val="1"/>
        <c:lblAlgn val="ctr"/>
        <c:lblOffset val="100"/>
        <c:noMultiLvlLbl val="0"/>
      </c:catAx>
      <c:valAx>
        <c:axId val="1854930415"/>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928015"/>
        <c:crosses val="autoZero"/>
        <c:crossBetween val="between"/>
        <c:dispUnits>
          <c:builtInUnit val="thousands"/>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China Profitability vs. Income</a:t>
            </a:r>
            <a:r>
              <a:rPr lang="en-US" b="1" baseline="0"/>
              <a:t> Taxes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0"/>
          <c:spPr>
            <a:solidFill>
              <a:schemeClr val="accent1"/>
            </a:solidFill>
            <a:ln>
              <a:noFill/>
            </a:ln>
            <a:effectLst/>
          </c:spPr>
          <c:invertIfNegative val="0"/>
          <c:cat>
            <c:strRef>
              <c:f>Sheet1!$F$7:$R$7</c:f>
              <c:strCache>
                <c:ptCount val="13"/>
                <c:pt idx="0">
                  <c:v>3Q21</c:v>
                </c:pt>
                <c:pt idx="1">
                  <c:v>4Q21</c:v>
                </c:pt>
                <c:pt idx="2">
                  <c:v>1Q22</c:v>
                </c:pt>
                <c:pt idx="3">
                  <c:v>2Q22</c:v>
                </c:pt>
                <c:pt idx="4">
                  <c:v>3Q22</c:v>
                </c:pt>
                <c:pt idx="5">
                  <c:v>4Q22</c:v>
                </c:pt>
                <c:pt idx="6">
                  <c:v>1Q23</c:v>
                </c:pt>
                <c:pt idx="7">
                  <c:v>2Q23</c:v>
                </c:pt>
                <c:pt idx="8">
                  <c:v>3Q23</c:v>
                </c:pt>
                <c:pt idx="9">
                  <c:v>4Q23</c:v>
                </c:pt>
                <c:pt idx="10">
                  <c:v>1Q24</c:v>
                </c:pt>
                <c:pt idx="11">
                  <c:v>2Q24</c:v>
                </c:pt>
                <c:pt idx="12">
                  <c:v>3Q24</c:v>
                </c:pt>
              </c:strCache>
            </c:strRef>
          </c:cat>
          <c:val>
            <c:numRef>
              <c:f>Sheet1!$F$21:$R$21</c:f>
              <c:numCache>
                <c:formatCode>_(* #,##0_);_(* \(#,##0\);_(* "-"_);_(@_)</c:formatCode>
                <c:ptCount val="13"/>
                <c:pt idx="0">
                  <c:v>-133.9230000000025</c:v>
                </c:pt>
                <c:pt idx="1">
                  <c:v>4478.5050000000047</c:v>
                </c:pt>
                <c:pt idx="2">
                  <c:v>-4266.5760000000046</c:v>
                </c:pt>
                <c:pt idx="3">
                  <c:v>7014.2260000000024</c:v>
                </c:pt>
                <c:pt idx="4">
                  <c:v>3252.9939999999988</c:v>
                </c:pt>
                <c:pt idx="5">
                  <c:v>2539.5579999999936</c:v>
                </c:pt>
                <c:pt idx="6">
                  <c:v>-3720.7769999999946</c:v>
                </c:pt>
                <c:pt idx="7">
                  <c:v>10688.404999999999</c:v>
                </c:pt>
                <c:pt idx="8">
                  <c:v>1754.8470000000016</c:v>
                </c:pt>
                <c:pt idx="9">
                  <c:v>8987.9400000000023</c:v>
                </c:pt>
                <c:pt idx="10">
                  <c:v>-6219.375</c:v>
                </c:pt>
                <c:pt idx="11">
                  <c:v>6659.6229999999996</c:v>
                </c:pt>
                <c:pt idx="12">
                  <c:v>235.1559999999954</c:v>
                </c:pt>
              </c:numCache>
            </c:numRef>
          </c:val>
          <c:extLst>
            <c:ext xmlns:c16="http://schemas.microsoft.com/office/drawing/2014/chart" uri="{C3380CC4-5D6E-409C-BE32-E72D297353CC}">
              <c16:uniqueId val="{00000002-F18F-4A44-8D0A-89E7A81A8DC3}"/>
            </c:ext>
          </c:extLst>
        </c:ser>
        <c:ser>
          <c:idx val="0"/>
          <c:order val="1"/>
          <c:spPr>
            <a:solidFill>
              <a:schemeClr val="accent2"/>
            </a:solidFill>
            <a:ln>
              <a:noFill/>
            </a:ln>
            <a:effectLst/>
          </c:spPr>
          <c:invertIfNegative val="0"/>
          <c:cat>
            <c:strRef>
              <c:f>Sheet1!$F$7:$R$7</c:f>
              <c:strCache>
                <c:ptCount val="13"/>
                <c:pt idx="0">
                  <c:v>3Q21</c:v>
                </c:pt>
                <c:pt idx="1">
                  <c:v>4Q21</c:v>
                </c:pt>
                <c:pt idx="2">
                  <c:v>1Q22</c:v>
                </c:pt>
                <c:pt idx="3">
                  <c:v>2Q22</c:v>
                </c:pt>
                <c:pt idx="4">
                  <c:v>3Q22</c:v>
                </c:pt>
                <c:pt idx="5">
                  <c:v>4Q22</c:v>
                </c:pt>
                <c:pt idx="6">
                  <c:v>1Q23</c:v>
                </c:pt>
                <c:pt idx="7">
                  <c:v>2Q23</c:v>
                </c:pt>
                <c:pt idx="8">
                  <c:v>3Q23</c:v>
                </c:pt>
                <c:pt idx="9">
                  <c:v>4Q23</c:v>
                </c:pt>
                <c:pt idx="10">
                  <c:v>1Q24</c:v>
                </c:pt>
                <c:pt idx="11">
                  <c:v>2Q24</c:v>
                </c:pt>
                <c:pt idx="12">
                  <c:v>3Q24</c:v>
                </c:pt>
              </c:strCache>
            </c:strRef>
          </c:cat>
          <c:val>
            <c:numRef>
              <c:f>Sheet1!$F$14:$R$14</c:f>
              <c:numCache>
                <c:formatCode>_(* #,##0_);_(* \(#,##0\);_(* "-"_);_(@_)</c:formatCode>
                <c:ptCount val="13"/>
                <c:pt idx="0">
                  <c:v>75.482999999998356</c:v>
                </c:pt>
                <c:pt idx="1">
                  <c:v>5138.9470000000147</c:v>
                </c:pt>
                <c:pt idx="2">
                  <c:v>-4722.516000000016</c:v>
                </c:pt>
                <c:pt idx="3">
                  <c:v>6864.3590000000004</c:v>
                </c:pt>
                <c:pt idx="4">
                  <c:v>3829.8514628019348</c:v>
                </c:pt>
                <c:pt idx="5">
                  <c:v>166.53227215260449</c:v>
                </c:pt>
                <c:pt idx="6">
                  <c:v>-1927.7377094967978</c:v>
                </c:pt>
                <c:pt idx="7">
                  <c:v>8757.4966335067402</c:v>
                </c:pt>
                <c:pt idx="8">
                  <c:v>3470.9752954015567</c:v>
                </c:pt>
                <c:pt idx="9">
                  <c:v>7578.5211486200897</c:v>
                </c:pt>
                <c:pt idx="10">
                  <c:v>-938.62185221871914</c:v>
                </c:pt>
                <c:pt idx="11">
                  <c:v>5936.0892489910984</c:v>
                </c:pt>
                <c:pt idx="12">
                  <c:v>-6884.8173821898126</c:v>
                </c:pt>
              </c:numCache>
            </c:numRef>
          </c:val>
          <c:extLst>
            <c:ext xmlns:c16="http://schemas.microsoft.com/office/drawing/2014/chart" uri="{C3380CC4-5D6E-409C-BE32-E72D297353CC}">
              <c16:uniqueId val="{00000000-F18F-4A44-8D0A-89E7A81A8DC3}"/>
            </c:ext>
          </c:extLst>
        </c:ser>
        <c:ser>
          <c:idx val="1"/>
          <c:order val="2"/>
          <c:spPr>
            <a:solidFill>
              <a:schemeClr val="accent3"/>
            </a:solidFill>
            <a:ln>
              <a:noFill/>
            </a:ln>
            <a:effectLst/>
          </c:spPr>
          <c:invertIfNegative val="0"/>
          <c:cat>
            <c:strRef>
              <c:f>Sheet1!$F$7:$R$7</c:f>
              <c:strCache>
                <c:ptCount val="13"/>
                <c:pt idx="0">
                  <c:v>3Q21</c:v>
                </c:pt>
                <c:pt idx="1">
                  <c:v>4Q21</c:v>
                </c:pt>
                <c:pt idx="2">
                  <c:v>1Q22</c:v>
                </c:pt>
                <c:pt idx="3">
                  <c:v>2Q22</c:v>
                </c:pt>
                <c:pt idx="4">
                  <c:v>3Q22</c:v>
                </c:pt>
                <c:pt idx="5">
                  <c:v>4Q22</c:v>
                </c:pt>
                <c:pt idx="6">
                  <c:v>1Q23</c:v>
                </c:pt>
                <c:pt idx="7">
                  <c:v>2Q23</c:v>
                </c:pt>
                <c:pt idx="8">
                  <c:v>3Q23</c:v>
                </c:pt>
                <c:pt idx="9">
                  <c:v>4Q23</c:v>
                </c:pt>
                <c:pt idx="10">
                  <c:v>1Q24</c:v>
                </c:pt>
                <c:pt idx="11">
                  <c:v>2Q24</c:v>
                </c:pt>
                <c:pt idx="12">
                  <c:v>3Q24</c:v>
                </c:pt>
              </c:strCache>
            </c:strRef>
          </c:cat>
          <c:val>
            <c:numRef>
              <c:f>Sheet1!$F$24:$R$24</c:f>
              <c:numCache>
                <c:formatCode>_(* #,##0_);_(* \(#,##0\);_(* "-"_);_(@_)</c:formatCode>
                <c:ptCount val="13"/>
                <c:pt idx="0">
                  <c:v>854.76599999999996</c:v>
                </c:pt>
                <c:pt idx="1">
                  <c:v>224.053</c:v>
                </c:pt>
                <c:pt idx="2">
                  <c:v>-514.005</c:v>
                </c:pt>
                <c:pt idx="3">
                  <c:v>993.24900000000014</c:v>
                </c:pt>
                <c:pt idx="4">
                  <c:v>-20.886000000000195</c:v>
                </c:pt>
                <c:pt idx="5">
                  <c:v>-471.56399999999962</c:v>
                </c:pt>
                <c:pt idx="6">
                  <c:v>532.16199999999981</c:v>
                </c:pt>
                <c:pt idx="7">
                  <c:v>1560.6669999999999</c:v>
                </c:pt>
                <c:pt idx="8">
                  <c:v>355.03800000000001</c:v>
                </c:pt>
                <c:pt idx="9">
                  <c:v>66.726999999999862</c:v>
                </c:pt>
                <c:pt idx="10">
                  <c:v>1487.5450000000005</c:v>
                </c:pt>
                <c:pt idx="11">
                  <c:v>846.86099999999988</c:v>
                </c:pt>
                <c:pt idx="12">
                  <c:v>-1712.9930000000004</c:v>
                </c:pt>
              </c:numCache>
            </c:numRef>
          </c:val>
          <c:extLst>
            <c:ext xmlns:c16="http://schemas.microsoft.com/office/drawing/2014/chart" uri="{C3380CC4-5D6E-409C-BE32-E72D297353CC}">
              <c16:uniqueId val="{00000001-F18F-4A44-8D0A-89E7A81A8DC3}"/>
            </c:ext>
          </c:extLst>
        </c:ser>
        <c:dLbls>
          <c:showLegendKey val="0"/>
          <c:showVal val="0"/>
          <c:showCatName val="0"/>
          <c:showSerName val="0"/>
          <c:showPercent val="0"/>
          <c:showBubbleSize val="0"/>
        </c:dLbls>
        <c:gapWidth val="219"/>
        <c:axId val="22213088"/>
        <c:axId val="22210688"/>
      </c:barChart>
      <c:catAx>
        <c:axId val="2221308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10688"/>
        <c:crosses val="autoZero"/>
        <c:auto val="1"/>
        <c:lblAlgn val="ctr"/>
        <c:lblOffset val="100"/>
        <c:noMultiLvlLbl val="0"/>
      </c:catAx>
      <c:valAx>
        <c:axId val="22210688"/>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130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OTR vs. BDA GMV</a:t>
            </a:r>
            <a:r>
              <a:rPr lang="en-US" b="1" baseline="0"/>
              <a:t> Backtest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OTR!$B$10</c:f>
              <c:strCache>
                <c:ptCount val="1"/>
                <c:pt idx="0">
                  <c:v>OTR Sales Y/Y Growth (Mid-Pt)</c:v>
                </c:pt>
              </c:strCache>
            </c:strRef>
          </c:tx>
          <c:spPr>
            <a:ln w="28575" cap="rnd">
              <a:solidFill>
                <a:schemeClr val="accent1"/>
              </a:solidFill>
              <a:round/>
            </a:ln>
            <a:effectLst/>
          </c:spPr>
          <c:marker>
            <c:symbol val="none"/>
          </c:marker>
          <c:cat>
            <c:strRef>
              <c:f>OTR!$G$6:$V$6</c:f>
              <c:strCache>
                <c:ptCount val="16"/>
                <c:pt idx="0">
                  <c:v>1Q21</c:v>
                </c:pt>
                <c:pt idx="1">
                  <c:v>2Q21</c:v>
                </c:pt>
                <c:pt idx="2">
                  <c:v>3Q21</c:v>
                </c:pt>
                <c:pt idx="3">
                  <c:v>4Q21</c:v>
                </c:pt>
                <c:pt idx="4">
                  <c:v>1Q22</c:v>
                </c:pt>
                <c:pt idx="5">
                  <c:v>2Q22</c:v>
                </c:pt>
                <c:pt idx="6">
                  <c:v>3Q22</c:v>
                </c:pt>
                <c:pt idx="7">
                  <c:v>4Q22</c:v>
                </c:pt>
                <c:pt idx="8">
                  <c:v>1Q23</c:v>
                </c:pt>
                <c:pt idx="9">
                  <c:v>2Q23</c:v>
                </c:pt>
                <c:pt idx="10">
                  <c:v>3Q23</c:v>
                </c:pt>
                <c:pt idx="11">
                  <c:v>4Q23</c:v>
                </c:pt>
                <c:pt idx="12">
                  <c:v>1Q24</c:v>
                </c:pt>
                <c:pt idx="13">
                  <c:v>2Q24</c:v>
                </c:pt>
                <c:pt idx="14">
                  <c:v>3Q24</c:v>
                </c:pt>
                <c:pt idx="15">
                  <c:v>4Q24e</c:v>
                </c:pt>
              </c:strCache>
            </c:strRef>
          </c:cat>
          <c:val>
            <c:numRef>
              <c:f>OTR!$G$10:$V$10</c:f>
              <c:numCache>
                <c:formatCode>_(* #,##0%_);_(* \(#,##0%\);_(* "-"_);_(@_)</c:formatCode>
                <c:ptCount val="16"/>
                <c:pt idx="0">
                  <c:v>0.59499999999999997</c:v>
                </c:pt>
                <c:pt idx="1">
                  <c:v>0.48499999999999999</c:v>
                </c:pt>
                <c:pt idx="2">
                  <c:v>0.375</c:v>
                </c:pt>
                <c:pt idx="3">
                  <c:v>0.29500000000000004</c:v>
                </c:pt>
                <c:pt idx="4">
                  <c:v>-0.10500000000000001</c:v>
                </c:pt>
                <c:pt idx="5">
                  <c:v>3.4999999999999996E-2</c:v>
                </c:pt>
                <c:pt idx="6">
                  <c:v>0.14500000000000002</c:v>
                </c:pt>
                <c:pt idx="7">
                  <c:v>-0.02</c:v>
                </c:pt>
                <c:pt idx="8">
                  <c:v>0.26500000000000001</c:v>
                </c:pt>
                <c:pt idx="9">
                  <c:v>0.30500000000000005</c:v>
                </c:pt>
                <c:pt idx="10">
                  <c:v>0.35499999999999998</c:v>
                </c:pt>
                <c:pt idx="11">
                  <c:v>0.36499999999999999</c:v>
                </c:pt>
                <c:pt idx="12">
                  <c:v>0.255</c:v>
                </c:pt>
                <c:pt idx="13">
                  <c:v>0.26500000000000001</c:v>
                </c:pt>
                <c:pt idx="14">
                  <c:v>0.14500000000000002</c:v>
                </c:pt>
                <c:pt idx="15">
                  <c:v>0.17499999999999999</c:v>
                </c:pt>
              </c:numCache>
            </c:numRef>
          </c:val>
          <c:smooth val="0"/>
          <c:extLst>
            <c:ext xmlns:c16="http://schemas.microsoft.com/office/drawing/2014/chart" uri="{C3380CC4-5D6E-409C-BE32-E72D297353CC}">
              <c16:uniqueId val="{00000000-F910-4D24-B956-39468D305CB1}"/>
            </c:ext>
          </c:extLst>
        </c:ser>
        <c:ser>
          <c:idx val="1"/>
          <c:order val="1"/>
          <c:tx>
            <c:strRef>
              <c:f>OTR!$B$26</c:f>
              <c:strCache>
                <c:ptCount val="1"/>
                <c:pt idx="0">
                  <c:v>BDA/CRC Net GMV Y/Y Growth</c:v>
                </c:pt>
              </c:strCache>
            </c:strRef>
          </c:tx>
          <c:spPr>
            <a:ln w="28575" cap="rnd">
              <a:solidFill>
                <a:schemeClr val="accent2"/>
              </a:solidFill>
              <a:round/>
            </a:ln>
            <a:effectLst/>
          </c:spPr>
          <c:marker>
            <c:symbol val="none"/>
          </c:marker>
          <c:cat>
            <c:strRef>
              <c:f>OTR!$G$6:$V$6</c:f>
              <c:strCache>
                <c:ptCount val="16"/>
                <c:pt idx="0">
                  <c:v>1Q21</c:v>
                </c:pt>
                <c:pt idx="1">
                  <c:v>2Q21</c:v>
                </c:pt>
                <c:pt idx="2">
                  <c:v>3Q21</c:v>
                </c:pt>
                <c:pt idx="3">
                  <c:v>4Q21</c:v>
                </c:pt>
                <c:pt idx="4">
                  <c:v>1Q22</c:v>
                </c:pt>
                <c:pt idx="5">
                  <c:v>2Q22</c:v>
                </c:pt>
                <c:pt idx="6">
                  <c:v>3Q22</c:v>
                </c:pt>
                <c:pt idx="7">
                  <c:v>4Q22</c:v>
                </c:pt>
                <c:pt idx="8">
                  <c:v>1Q23</c:v>
                </c:pt>
                <c:pt idx="9">
                  <c:v>2Q23</c:v>
                </c:pt>
                <c:pt idx="10">
                  <c:v>3Q23</c:v>
                </c:pt>
                <c:pt idx="11">
                  <c:v>4Q23</c:v>
                </c:pt>
                <c:pt idx="12">
                  <c:v>1Q24</c:v>
                </c:pt>
                <c:pt idx="13">
                  <c:v>2Q24</c:v>
                </c:pt>
                <c:pt idx="14">
                  <c:v>3Q24</c:v>
                </c:pt>
                <c:pt idx="15">
                  <c:v>4Q24e</c:v>
                </c:pt>
              </c:strCache>
            </c:strRef>
          </c:cat>
          <c:val>
            <c:numRef>
              <c:f>OTR!$G$26:$V$26</c:f>
              <c:numCache>
                <c:formatCode>_(* #,##0%_);_(* \(#,##0%\);_(* "-"_);_(@_)</c:formatCode>
                <c:ptCount val="16"/>
                <c:pt idx="0">
                  <c:v>1.1000000000000001</c:v>
                </c:pt>
                <c:pt idx="1">
                  <c:v>0.38938048231495559</c:v>
                </c:pt>
                <c:pt idx="2">
                  <c:v>0.35738057803149448</c:v>
                </c:pt>
                <c:pt idx="3">
                  <c:v>0.20750633737572843</c:v>
                </c:pt>
                <c:pt idx="4">
                  <c:v>0.19099018776633803</c:v>
                </c:pt>
                <c:pt idx="5">
                  <c:v>0.14705323370581125</c:v>
                </c:pt>
                <c:pt idx="6">
                  <c:v>0.23999999999999977</c:v>
                </c:pt>
                <c:pt idx="7">
                  <c:v>0.18059846462382501</c:v>
                </c:pt>
                <c:pt idx="8">
                  <c:v>0.25000000000000022</c:v>
                </c:pt>
                <c:pt idx="9">
                  <c:v>0.30000000000000004</c:v>
                </c:pt>
                <c:pt idx="10">
                  <c:v>0.20999999999999996</c:v>
                </c:pt>
                <c:pt idx="11">
                  <c:v>0.24936635460556889</c:v>
                </c:pt>
                <c:pt idx="12">
                  <c:v>0.21999936552067201</c:v>
                </c:pt>
                <c:pt idx="13">
                  <c:v>0.18000050506773335</c:v>
                </c:pt>
                <c:pt idx="14">
                  <c:v>0.19000051018003616</c:v>
                </c:pt>
                <c:pt idx="15">
                  <c:v>0.17413356357267973</c:v>
                </c:pt>
              </c:numCache>
            </c:numRef>
          </c:val>
          <c:smooth val="0"/>
          <c:extLst>
            <c:ext xmlns:c16="http://schemas.microsoft.com/office/drawing/2014/chart" uri="{C3380CC4-5D6E-409C-BE32-E72D297353CC}">
              <c16:uniqueId val="{00000001-F910-4D24-B956-39468D305CB1}"/>
            </c:ext>
          </c:extLst>
        </c:ser>
        <c:dLbls>
          <c:showLegendKey val="0"/>
          <c:showVal val="0"/>
          <c:showCatName val="0"/>
          <c:showSerName val="0"/>
          <c:showPercent val="0"/>
          <c:showBubbleSize val="0"/>
        </c:dLbls>
        <c:smooth val="0"/>
        <c:axId val="454835359"/>
        <c:axId val="454833439"/>
      </c:lineChart>
      <c:catAx>
        <c:axId val="45483535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833439"/>
        <c:crosses val="autoZero"/>
        <c:auto val="1"/>
        <c:lblAlgn val="ctr"/>
        <c:lblOffset val="100"/>
        <c:noMultiLvlLbl val="0"/>
      </c:catAx>
      <c:valAx>
        <c:axId val="45483343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835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OTR vs. BDA Take Rate</a:t>
            </a:r>
            <a:r>
              <a:rPr lang="en-US" b="1" baseline="0"/>
              <a:t> Backtest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OTR!$B$14</c:f>
              <c:strCache>
                <c:ptCount val="1"/>
                <c:pt idx="0">
                  <c:v>OTR Ad Take Rate (Mid-Pt)</c:v>
                </c:pt>
              </c:strCache>
            </c:strRef>
          </c:tx>
          <c:spPr>
            <a:ln w="28575" cap="rnd">
              <a:solidFill>
                <a:schemeClr val="accent1"/>
              </a:solidFill>
              <a:round/>
            </a:ln>
            <a:effectLst/>
          </c:spPr>
          <c:marker>
            <c:symbol val="none"/>
          </c:marker>
          <c:cat>
            <c:strRef>
              <c:f>OTR!$G$6:$V$6</c:f>
              <c:strCache>
                <c:ptCount val="16"/>
                <c:pt idx="0">
                  <c:v>1Q21</c:v>
                </c:pt>
                <c:pt idx="1">
                  <c:v>2Q21</c:v>
                </c:pt>
                <c:pt idx="2">
                  <c:v>3Q21</c:v>
                </c:pt>
                <c:pt idx="3">
                  <c:v>4Q21</c:v>
                </c:pt>
                <c:pt idx="4">
                  <c:v>1Q22</c:v>
                </c:pt>
                <c:pt idx="5">
                  <c:v>2Q22</c:v>
                </c:pt>
                <c:pt idx="6">
                  <c:v>3Q22</c:v>
                </c:pt>
                <c:pt idx="7">
                  <c:v>4Q22</c:v>
                </c:pt>
                <c:pt idx="8">
                  <c:v>1Q23</c:v>
                </c:pt>
                <c:pt idx="9">
                  <c:v>2Q23</c:v>
                </c:pt>
                <c:pt idx="10">
                  <c:v>3Q23</c:v>
                </c:pt>
                <c:pt idx="11">
                  <c:v>4Q23</c:v>
                </c:pt>
                <c:pt idx="12">
                  <c:v>1Q24</c:v>
                </c:pt>
                <c:pt idx="13">
                  <c:v>2Q24</c:v>
                </c:pt>
                <c:pt idx="14">
                  <c:v>3Q24</c:v>
                </c:pt>
                <c:pt idx="15">
                  <c:v>4Q24e</c:v>
                </c:pt>
              </c:strCache>
            </c:strRef>
          </c:cat>
          <c:val>
            <c:numRef>
              <c:f>OTR!$G$14:$V$14</c:f>
              <c:numCache>
                <c:formatCode>_(* #,##0.0%_);_(* \(#,##0.0%\);_(* "-"_);_(@_)</c:formatCode>
                <c:ptCount val="16"/>
                <c:pt idx="0">
                  <c:v>8.4999999999999992E-2</c:v>
                </c:pt>
                <c:pt idx="1">
                  <c:v>6.5000000000000002E-2</c:v>
                </c:pt>
                <c:pt idx="2">
                  <c:v>7.5000000000000011E-2</c:v>
                </c:pt>
                <c:pt idx="3">
                  <c:v>6.5000000000000002E-2</c:v>
                </c:pt>
                <c:pt idx="4">
                  <c:v>6.5000000000000002E-2</c:v>
                </c:pt>
                <c:pt idx="5">
                  <c:v>6.5000000000000002E-2</c:v>
                </c:pt>
                <c:pt idx="6">
                  <c:v>7.5000000000000011E-2</c:v>
                </c:pt>
                <c:pt idx="7">
                  <c:v>7.5000000000000011E-2</c:v>
                </c:pt>
                <c:pt idx="8">
                  <c:v>8.4999999999999992E-2</c:v>
                </c:pt>
                <c:pt idx="9">
                  <c:v>0.115</c:v>
                </c:pt>
                <c:pt idx="10">
                  <c:v>0.10500000000000001</c:v>
                </c:pt>
                <c:pt idx="11">
                  <c:v>0.13500000000000001</c:v>
                </c:pt>
                <c:pt idx="12">
                  <c:v>0.13500000000000001</c:v>
                </c:pt>
                <c:pt idx="13">
                  <c:v>0.115</c:v>
                </c:pt>
                <c:pt idx="14">
                  <c:v>0.115</c:v>
                </c:pt>
                <c:pt idx="15">
                  <c:v>0.125</c:v>
                </c:pt>
              </c:numCache>
            </c:numRef>
          </c:val>
          <c:smooth val="0"/>
          <c:extLst>
            <c:ext xmlns:c16="http://schemas.microsoft.com/office/drawing/2014/chart" uri="{C3380CC4-5D6E-409C-BE32-E72D297353CC}">
              <c16:uniqueId val="{00000000-A6C0-47FA-9933-C31A84A48B61}"/>
            </c:ext>
          </c:extLst>
        </c:ser>
        <c:ser>
          <c:idx val="1"/>
          <c:order val="1"/>
          <c:tx>
            <c:strRef>
              <c:f>OTR!$B$27</c:f>
              <c:strCache>
                <c:ptCount val="1"/>
                <c:pt idx="0">
                  <c:v>BDA/CRCCRC Net Take Rate %</c:v>
                </c:pt>
              </c:strCache>
            </c:strRef>
          </c:tx>
          <c:spPr>
            <a:ln w="28575" cap="rnd">
              <a:solidFill>
                <a:schemeClr val="accent2"/>
              </a:solidFill>
              <a:round/>
            </a:ln>
            <a:effectLst/>
          </c:spPr>
          <c:marker>
            <c:symbol val="none"/>
          </c:marker>
          <c:cat>
            <c:strRef>
              <c:f>OTR!$G$6:$V$6</c:f>
              <c:strCache>
                <c:ptCount val="16"/>
                <c:pt idx="0">
                  <c:v>1Q21</c:v>
                </c:pt>
                <c:pt idx="1">
                  <c:v>2Q21</c:v>
                </c:pt>
                <c:pt idx="2">
                  <c:v>3Q21</c:v>
                </c:pt>
                <c:pt idx="3">
                  <c:v>4Q21</c:v>
                </c:pt>
                <c:pt idx="4">
                  <c:v>1Q22</c:v>
                </c:pt>
                <c:pt idx="5">
                  <c:v>2Q22</c:v>
                </c:pt>
                <c:pt idx="6">
                  <c:v>3Q22</c:v>
                </c:pt>
                <c:pt idx="7">
                  <c:v>4Q22</c:v>
                </c:pt>
                <c:pt idx="8">
                  <c:v>1Q23</c:v>
                </c:pt>
                <c:pt idx="9">
                  <c:v>2Q23</c:v>
                </c:pt>
                <c:pt idx="10">
                  <c:v>3Q23</c:v>
                </c:pt>
                <c:pt idx="11">
                  <c:v>4Q23</c:v>
                </c:pt>
                <c:pt idx="12">
                  <c:v>1Q24</c:v>
                </c:pt>
                <c:pt idx="13">
                  <c:v>2Q24</c:v>
                </c:pt>
                <c:pt idx="14">
                  <c:v>3Q24</c:v>
                </c:pt>
                <c:pt idx="15">
                  <c:v>4Q24e</c:v>
                </c:pt>
              </c:strCache>
            </c:strRef>
          </c:cat>
          <c:val>
            <c:numRef>
              <c:f>OTR!$G$27:$V$27</c:f>
              <c:numCache>
                <c:formatCode>_(* #,##0.0%_);_(* \(#,##0.0%\);_(* "-"_);_(@_)</c:formatCode>
                <c:ptCount val="16"/>
                <c:pt idx="0">
                  <c:v>5.2521737500299398E-2</c:v>
                </c:pt>
                <c:pt idx="1">
                  <c:v>5.5727829417572303E-2</c:v>
                </c:pt>
                <c:pt idx="2">
                  <c:v>5.1547105853767893E-2</c:v>
                </c:pt>
                <c:pt idx="3">
                  <c:v>5.6142787571689723E-2</c:v>
                </c:pt>
                <c:pt idx="4">
                  <c:v>5.6452902027095096E-2</c:v>
                </c:pt>
                <c:pt idx="5">
                  <c:v>6.9843199642327797E-2</c:v>
                </c:pt>
                <c:pt idx="6">
                  <c:v>7.0069408545119991E-2</c:v>
                </c:pt>
                <c:pt idx="7">
                  <c:v>6.9276866473433063E-2</c:v>
                </c:pt>
                <c:pt idx="8">
                  <c:v>6.8995528452332797E-2</c:v>
                </c:pt>
                <c:pt idx="9">
                  <c:v>8.2418700624894259E-2</c:v>
                </c:pt>
                <c:pt idx="10">
                  <c:v>8.1323167103180688E-2</c:v>
                </c:pt>
                <c:pt idx="11">
                  <c:v>9.0023195166857514E-2</c:v>
                </c:pt>
                <c:pt idx="12">
                  <c:v>8.8145867915306098E-2</c:v>
                </c:pt>
                <c:pt idx="13">
                  <c:v>9.0823275856799945E-2</c:v>
                </c:pt>
                <c:pt idx="14">
                  <c:v>8.4447989701232504E-2</c:v>
                </c:pt>
                <c:pt idx="15">
                  <c:v>8.3044901028228771E-2</c:v>
                </c:pt>
              </c:numCache>
            </c:numRef>
          </c:val>
          <c:smooth val="0"/>
          <c:extLst>
            <c:ext xmlns:c16="http://schemas.microsoft.com/office/drawing/2014/chart" uri="{C3380CC4-5D6E-409C-BE32-E72D297353CC}">
              <c16:uniqueId val="{00000001-A6C0-47FA-9933-C31A84A48B61}"/>
            </c:ext>
          </c:extLst>
        </c:ser>
        <c:dLbls>
          <c:showLegendKey val="0"/>
          <c:showVal val="0"/>
          <c:showCatName val="0"/>
          <c:showSerName val="0"/>
          <c:showPercent val="0"/>
          <c:showBubbleSize val="0"/>
        </c:dLbls>
        <c:smooth val="0"/>
        <c:axId val="454835359"/>
        <c:axId val="454833439"/>
      </c:lineChart>
      <c:catAx>
        <c:axId val="45483535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833439"/>
        <c:crosses val="autoZero"/>
        <c:auto val="1"/>
        <c:lblAlgn val="ctr"/>
        <c:lblOffset val="100"/>
        <c:noMultiLvlLbl val="0"/>
      </c:catAx>
      <c:valAx>
        <c:axId val="454833439"/>
        <c:scaling>
          <c:orientation val="minMax"/>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835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OTR vs. Reported OMS Revenue</a:t>
            </a:r>
            <a:r>
              <a:rPr lang="en-US" b="1" baseline="0"/>
              <a:t> Backtest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OTR!$B$18</c:f>
              <c:strCache>
                <c:ptCount val="1"/>
                <c:pt idx="0">
                  <c:v>Calculated OTR Ad Spend Y/Y Growth</c:v>
                </c:pt>
              </c:strCache>
            </c:strRef>
          </c:tx>
          <c:spPr>
            <a:ln w="28575" cap="rnd">
              <a:solidFill>
                <a:schemeClr val="accent1"/>
              </a:solidFill>
              <a:round/>
            </a:ln>
            <a:effectLst/>
          </c:spPr>
          <c:marker>
            <c:symbol val="none"/>
          </c:marker>
          <c:cat>
            <c:strRef>
              <c:f>OTR!$G$6:$V$6</c:f>
              <c:strCache>
                <c:ptCount val="16"/>
                <c:pt idx="0">
                  <c:v>1Q21</c:v>
                </c:pt>
                <c:pt idx="1">
                  <c:v>2Q21</c:v>
                </c:pt>
                <c:pt idx="2">
                  <c:v>3Q21</c:v>
                </c:pt>
                <c:pt idx="3">
                  <c:v>4Q21</c:v>
                </c:pt>
                <c:pt idx="4">
                  <c:v>1Q22</c:v>
                </c:pt>
                <c:pt idx="5">
                  <c:v>2Q22</c:v>
                </c:pt>
                <c:pt idx="6">
                  <c:v>3Q22</c:v>
                </c:pt>
                <c:pt idx="7">
                  <c:v>4Q22</c:v>
                </c:pt>
                <c:pt idx="8">
                  <c:v>1Q23</c:v>
                </c:pt>
                <c:pt idx="9">
                  <c:v>2Q23</c:v>
                </c:pt>
                <c:pt idx="10">
                  <c:v>3Q23</c:v>
                </c:pt>
                <c:pt idx="11">
                  <c:v>4Q23</c:v>
                </c:pt>
                <c:pt idx="12">
                  <c:v>1Q24</c:v>
                </c:pt>
                <c:pt idx="13">
                  <c:v>2Q24</c:v>
                </c:pt>
                <c:pt idx="14">
                  <c:v>3Q24</c:v>
                </c:pt>
                <c:pt idx="15">
                  <c:v>4Q24e</c:v>
                </c:pt>
              </c:strCache>
            </c:strRef>
          </c:cat>
          <c:val>
            <c:numRef>
              <c:f>OTR!$G$18:$V$18</c:f>
              <c:numCache>
                <c:formatCode>_(* #,##0%_);_(* \(#,##0%\);_(* "-"_);_(@_)</c:formatCode>
                <c:ptCount val="16"/>
                <c:pt idx="0">
                  <c:v>0.42710526315789465</c:v>
                </c:pt>
                <c:pt idx="1">
                  <c:v>1.6052631578947318E-2</c:v>
                </c:pt>
                <c:pt idx="2">
                  <c:v>8.5526315789473895E-2</c:v>
                </c:pt>
                <c:pt idx="3">
                  <c:v>-0.19833333333333347</c:v>
                </c:pt>
                <c:pt idx="4">
                  <c:v>-0.31558823529411761</c:v>
                </c:pt>
                <c:pt idx="5">
                  <c:v>3.499999999999992E-2</c:v>
                </c:pt>
                <c:pt idx="6">
                  <c:v>0.14500000000000002</c:v>
                </c:pt>
                <c:pt idx="7">
                  <c:v>0.13076923076923097</c:v>
                </c:pt>
                <c:pt idx="8">
                  <c:v>0.65423076923076917</c:v>
                </c:pt>
                <c:pt idx="9">
                  <c:v>1.308846153846154</c:v>
                </c:pt>
                <c:pt idx="10">
                  <c:v>0.8969999999999998</c:v>
                </c:pt>
                <c:pt idx="11">
                  <c:v>1.4569999999999999</c:v>
                </c:pt>
                <c:pt idx="12">
                  <c:v>0.99323529411764744</c:v>
                </c:pt>
                <c:pt idx="13">
                  <c:v>0.26500000000000012</c:v>
                </c:pt>
                <c:pt idx="14">
                  <c:v>0.25404761904761886</c:v>
                </c:pt>
                <c:pt idx="15">
                  <c:v>8.7962962962962798E-2</c:v>
                </c:pt>
              </c:numCache>
            </c:numRef>
          </c:val>
          <c:smooth val="0"/>
          <c:extLst>
            <c:ext xmlns:c16="http://schemas.microsoft.com/office/drawing/2014/chart" uri="{C3380CC4-5D6E-409C-BE32-E72D297353CC}">
              <c16:uniqueId val="{00000000-C61B-4E02-8746-AEDA7FB03DF9}"/>
            </c:ext>
          </c:extLst>
        </c:ser>
        <c:ser>
          <c:idx val="1"/>
          <c:order val="1"/>
          <c:tx>
            <c:strRef>
              <c:f>OTR!$B$31</c:f>
              <c:strCache>
                <c:ptCount val="1"/>
                <c:pt idx="0">
                  <c:v>Reported OMS Revenue Y/Y Growth</c:v>
                </c:pt>
              </c:strCache>
            </c:strRef>
          </c:tx>
          <c:spPr>
            <a:ln w="28575" cap="rnd">
              <a:solidFill>
                <a:schemeClr val="accent2"/>
              </a:solidFill>
              <a:round/>
            </a:ln>
            <a:effectLst/>
          </c:spPr>
          <c:marker>
            <c:symbol val="none"/>
          </c:marker>
          <c:cat>
            <c:strRef>
              <c:f>OTR!$G$6:$V$6</c:f>
              <c:strCache>
                <c:ptCount val="16"/>
                <c:pt idx="0">
                  <c:v>1Q21</c:v>
                </c:pt>
                <c:pt idx="1">
                  <c:v>2Q21</c:v>
                </c:pt>
                <c:pt idx="2">
                  <c:v>3Q21</c:v>
                </c:pt>
                <c:pt idx="3">
                  <c:v>4Q21</c:v>
                </c:pt>
                <c:pt idx="4">
                  <c:v>1Q22</c:v>
                </c:pt>
                <c:pt idx="5">
                  <c:v>2Q22</c:v>
                </c:pt>
                <c:pt idx="6">
                  <c:v>3Q22</c:v>
                </c:pt>
                <c:pt idx="7">
                  <c:v>4Q22</c:v>
                </c:pt>
                <c:pt idx="8">
                  <c:v>1Q23</c:v>
                </c:pt>
                <c:pt idx="9">
                  <c:v>2Q23</c:v>
                </c:pt>
                <c:pt idx="10">
                  <c:v>3Q23</c:v>
                </c:pt>
                <c:pt idx="11">
                  <c:v>4Q23</c:v>
                </c:pt>
                <c:pt idx="12">
                  <c:v>1Q24</c:v>
                </c:pt>
                <c:pt idx="13">
                  <c:v>2Q24</c:v>
                </c:pt>
                <c:pt idx="14">
                  <c:v>3Q24</c:v>
                </c:pt>
                <c:pt idx="15">
                  <c:v>4Q24e</c:v>
                </c:pt>
              </c:strCache>
            </c:strRef>
          </c:cat>
          <c:val>
            <c:numRef>
              <c:f>OTR!$G$31:$V$31</c:f>
              <c:numCache>
                <c:formatCode>_(* #,##0%_);_(* \(#,##0%\);_(* "-"_);_(@_)</c:formatCode>
                <c:ptCount val="16"/>
                <c:pt idx="0">
                  <c:v>1.5693358119684575</c:v>
                </c:pt>
                <c:pt idx="1">
                  <c:v>0.63554164935125335</c:v>
                </c:pt>
                <c:pt idx="2">
                  <c:v>0.43746349571592291</c:v>
                </c:pt>
                <c:pt idx="3">
                  <c:v>0.18513004060094174</c:v>
                </c:pt>
                <c:pt idx="4">
                  <c:v>0.28678333380339938</c:v>
                </c:pt>
                <c:pt idx="5">
                  <c:v>0.39226037847906059</c:v>
                </c:pt>
                <c:pt idx="6">
                  <c:v>0.58391058622251402</c:v>
                </c:pt>
                <c:pt idx="7">
                  <c:v>0.3808339629505475</c:v>
                </c:pt>
                <c:pt idx="8">
                  <c:v>0.50037384850282995</c:v>
                </c:pt>
                <c:pt idx="9">
                  <c:v>0.50690648354835566</c:v>
                </c:pt>
                <c:pt idx="10">
                  <c:v>0.39619269852979588</c:v>
                </c:pt>
                <c:pt idx="11">
                  <c:v>0.57194570951141555</c:v>
                </c:pt>
                <c:pt idx="12">
                  <c:v>0.55834602644959386</c:v>
                </c:pt>
                <c:pt idx="13">
                  <c:v>0.29481150510490517</c:v>
                </c:pt>
                <c:pt idx="14">
                  <c:v>0.24348474103221651</c:v>
                </c:pt>
                <c:pt idx="15">
                  <c:v>0.15978039941829647</c:v>
                </c:pt>
              </c:numCache>
            </c:numRef>
          </c:val>
          <c:smooth val="0"/>
          <c:extLst>
            <c:ext xmlns:c16="http://schemas.microsoft.com/office/drawing/2014/chart" uri="{C3380CC4-5D6E-409C-BE32-E72D297353CC}">
              <c16:uniqueId val="{00000001-C61B-4E02-8746-AEDA7FB03DF9}"/>
            </c:ext>
          </c:extLst>
        </c:ser>
        <c:dLbls>
          <c:showLegendKey val="0"/>
          <c:showVal val="0"/>
          <c:showCatName val="0"/>
          <c:showSerName val="0"/>
          <c:showPercent val="0"/>
          <c:showBubbleSize val="0"/>
        </c:dLbls>
        <c:smooth val="0"/>
        <c:axId val="454835359"/>
        <c:axId val="454833439"/>
      </c:lineChart>
      <c:catAx>
        <c:axId val="45483535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833439"/>
        <c:crosses val="autoZero"/>
        <c:auto val="1"/>
        <c:lblAlgn val="ctr"/>
        <c:lblOffset val="100"/>
        <c:noMultiLvlLbl val="0"/>
      </c:catAx>
      <c:valAx>
        <c:axId val="45483343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835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0</xdr:colOff>
      <xdr:row>5</xdr:row>
      <xdr:rowOff>0</xdr:rowOff>
    </xdr:from>
    <xdr:to>
      <xdr:col>10</xdr:col>
      <xdr:colOff>0</xdr:colOff>
      <xdr:row>116</xdr:row>
      <xdr:rowOff>224</xdr:rowOff>
    </xdr:to>
    <xdr:cxnSp macro="">
      <xdr:nvCxnSpPr>
        <xdr:cNvPr id="3" name="Straight Connector 2">
          <a:extLst>
            <a:ext uri="{FF2B5EF4-FFF2-40B4-BE49-F238E27FC236}">
              <a16:creationId xmlns:a16="http://schemas.microsoft.com/office/drawing/2014/main" id="{17378468-3D5A-4D10-9B1E-83FAE2552752}"/>
            </a:ext>
          </a:extLst>
        </xdr:cNvPr>
        <xdr:cNvCxnSpPr/>
      </xdr:nvCxnSpPr>
      <xdr:spPr>
        <a:xfrm>
          <a:off x="6006353" y="627529"/>
          <a:ext cx="0" cy="124253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xdr:row>
      <xdr:rowOff>0</xdr:rowOff>
    </xdr:from>
    <xdr:to>
      <xdr:col>9</xdr:col>
      <xdr:colOff>0</xdr:colOff>
      <xdr:row>116</xdr:row>
      <xdr:rowOff>224</xdr:rowOff>
    </xdr:to>
    <xdr:cxnSp macro="">
      <xdr:nvCxnSpPr>
        <xdr:cNvPr id="2" name="Straight Connector 1">
          <a:extLst>
            <a:ext uri="{FF2B5EF4-FFF2-40B4-BE49-F238E27FC236}">
              <a16:creationId xmlns:a16="http://schemas.microsoft.com/office/drawing/2014/main" id="{C77F7220-CBDD-4434-AB71-17B1D413B8DE}"/>
            </a:ext>
          </a:extLst>
        </xdr:cNvPr>
        <xdr:cNvCxnSpPr/>
      </xdr:nvCxnSpPr>
      <xdr:spPr>
        <a:xfrm>
          <a:off x="5681382" y="616324"/>
          <a:ext cx="0" cy="12965429"/>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5</xdr:row>
      <xdr:rowOff>0</xdr:rowOff>
    </xdr:from>
    <xdr:to>
      <xdr:col>10</xdr:col>
      <xdr:colOff>0</xdr:colOff>
      <xdr:row>53</xdr:row>
      <xdr:rowOff>9525</xdr:rowOff>
    </xdr:to>
    <xdr:cxnSp macro="">
      <xdr:nvCxnSpPr>
        <xdr:cNvPr id="3" name="Straight Connector 2">
          <a:extLst>
            <a:ext uri="{FF2B5EF4-FFF2-40B4-BE49-F238E27FC236}">
              <a16:creationId xmlns:a16="http://schemas.microsoft.com/office/drawing/2014/main" id="{4A1A2B7E-A020-4142-A63B-E6568679E9CB}"/>
            </a:ext>
          </a:extLst>
        </xdr:cNvPr>
        <xdr:cNvCxnSpPr/>
      </xdr:nvCxnSpPr>
      <xdr:spPr>
        <a:xfrm>
          <a:off x="6006353" y="627529"/>
          <a:ext cx="0" cy="62758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515471</xdr:colOff>
      <xdr:row>5</xdr:row>
      <xdr:rowOff>472</xdr:rowOff>
    </xdr:from>
    <xdr:to>
      <xdr:col>10</xdr:col>
      <xdr:colOff>515471</xdr:colOff>
      <xdr:row>866</xdr:row>
      <xdr:rowOff>69052</xdr:rowOff>
    </xdr:to>
    <xdr:cxnSp macro="">
      <xdr:nvCxnSpPr>
        <xdr:cNvPr id="3" name="Straight Connector 2">
          <a:extLst>
            <a:ext uri="{FF2B5EF4-FFF2-40B4-BE49-F238E27FC236}">
              <a16:creationId xmlns:a16="http://schemas.microsoft.com/office/drawing/2014/main" id="{3D318C76-22E4-7D2F-CB93-8A46B308F1B4}"/>
            </a:ext>
          </a:extLst>
        </xdr:cNvPr>
        <xdr:cNvCxnSpPr/>
      </xdr:nvCxnSpPr>
      <xdr:spPr>
        <a:xfrm>
          <a:off x="3910853" y="661619"/>
          <a:ext cx="0" cy="6426708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xdr:row>
      <xdr:rowOff>0</xdr:rowOff>
    </xdr:from>
    <xdr:to>
      <xdr:col>15</xdr:col>
      <xdr:colOff>0</xdr:colOff>
      <xdr:row>866</xdr:row>
      <xdr:rowOff>68580</xdr:rowOff>
    </xdr:to>
    <xdr:cxnSp macro="">
      <xdr:nvCxnSpPr>
        <xdr:cNvPr id="5" name="Straight Connector 4">
          <a:extLst>
            <a:ext uri="{FF2B5EF4-FFF2-40B4-BE49-F238E27FC236}">
              <a16:creationId xmlns:a16="http://schemas.microsoft.com/office/drawing/2014/main" id="{6E02F916-DC0D-4C81-980A-D6FB6203F0AB}"/>
            </a:ext>
          </a:extLst>
        </xdr:cNvPr>
        <xdr:cNvCxnSpPr/>
      </xdr:nvCxnSpPr>
      <xdr:spPr>
        <a:xfrm>
          <a:off x="5562600" y="647700"/>
          <a:ext cx="0" cy="50292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5</xdr:row>
      <xdr:rowOff>0</xdr:rowOff>
    </xdr:from>
    <xdr:to>
      <xdr:col>19</xdr:col>
      <xdr:colOff>0</xdr:colOff>
      <xdr:row>866</xdr:row>
      <xdr:rowOff>68580</xdr:rowOff>
    </xdr:to>
    <xdr:cxnSp macro="">
      <xdr:nvCxnSpPr>
        <xdr:cNvPr id="6" name="Straight Connector 5">
          <a:extLst>
            <a:ext uri="{FF2B5EF4-FFF2-40B4-BE49-F238E27FC236}">
              <a16:creationId xmlns:a16="http://schemas.microsoft.com/office/drawing/2014/main" id="{EC497A4A-CFD3-4754-BD62-69031902256A}"/>
            </a:ext>
          </a:extLst>
        </xdr:cNvPr>
        <xdr:cNvCxnSpPr/>
      </xdr:nvCxnSpPr>
      <xdr:spPr>
        <a:xfrm>
          <a:off x="7513320" y="647700"/>
          <a:ext cx="0" cy="50292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5</xdr:row>
      <xdr:rowOff>0</xdr:rowOff>
    </xdr:from>
    <xdr:to>
      <xdr:col>23</xdr:col>
      <xdr:colOff>0</xdr:colOff>
      <xdr:row>866</xdr:row>
      <xdr:rowOff>68580</xdr:rowOff>
    </xdr:to>
    <xdr:cxnSp macro="">
      <xdr:nvCxnSpPr>
        <xdr:cNvPr id="7" name="Straight Connector 6">
          <a:extLst>
            <a:ext uri="{FF2B5EF4-FFF2-40B4-BE49-F238E27FC236}">
              <a16:creationId xmlns:a16="http://schemas.microsoft.com/office/drawing/2014/main" id="{0EE1E98C-612E-4952-B82A-97D4D6E39931}"/>
            </a:ext>
          </a:extLst>
        </xdr:cNvPr>
        <xdr:cNvCxnSpPr/>
      </xdr:nvCxnSpPr>
      <xdr:spPr>
        <a:xfrm>
          <a:off x="9464040" y="647700"/>
          <a:ext cx="0" cy="50292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5</xdr:row>
      <xdr:rowOff>0</xdr:rowOff>
    </xdr:from>
    <xdr:to>
      <xdr:col>27</xdr:col>
      <xdr:colOff>0</xdr:colOff>
      <xdr:row>866</xdr:row>
      <xdr:rowOff>68580</xdr:rowOff>
    </xdr:to>
    <xdr:cxnSp macro="">
      <xdr:nvCxnSpPr>
        <xdr:cNvPr id="8" name="Straight Connector 7">
          <a:extLst>
            <a:ext uri="{FF2B5EF4-FFF2-40B4-BE49-F238E27FC236}">
              <a16:creationId xmlns:a16="http://schemas.microsoft.com/office/drawing/2014/main" id="{762D1894-B147-4BAF-A0A6-955936E4F384}"/>
            </a:ext>
          </a:extLst>
        </xdr:cNvPr>
        <xdr:cNvCxnSpPr/>
      </xdr:nvCxnSpPr>
      <xdr:spPr>
        <a:xfrm>
          <a:off x="11414760" y="647700"/>
          <a:ext cx="0" cy="50292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5</xdr:row>
      <xdr:rowOff>0</xdr:rowOff>
    </xdr:from>
    <xdr:to>
      <xdr:col>31</xdr:col>
      <xdr:colOff>0</xdr:colOff>
      <xdr:row>866</xdr:row>
      <xdr:rowOff>68580</xdr:rowOff>
    </xdr:to>
    <xdr:cxnSp macro="">
      <xdr:nvCxnSpPr>
        <xdr:cNvPr id="9" name="Straight Connector 8">
          <a:extLst>
            <a:ext uri="{FF2B5EF4-FFF2-40B4-BE49-F238E27FC236}">
              <a16:creationId xmlns:a16="http://schemas.microsoft.com/office/drawing/2014/main" id="{A55C2307-5ED7-470E-9692-76DD07E4378B}"/>
            </a:ext>
          </a:extLst>
        </xdr:cNvPr>
        <xdr:cNvCxnSpPr/>
      </xdr:nvCxnSpPr>
      <xdr:spPr>
        <a:xfrm>
          <a:off x="13365480" y="647700"/>
          <a:ext cx="0" cy="50292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0</xdr:colOff>
      <xdr:row>5</xdr:row>
      <xdr:rowOff>0</xdr:rowOff>
    </xdr:from>
    <xdr:to>
      <xdr:col>48</xdr:col>
      <xdr:colOff>0</xdr:colOff>
      <xdr:row>866</xdr:row>
      <xdr:rowOff>68580</xdr:rowOff>
    </xdr:to>
    <xdr:cxnSp macro="">
      <xdr:nvCxnSpPr>
        <xdr:cNvPr id="2" name="Straight Connector 1">
          <a:extLst>
            <a:ext uri="{FF2B5EF4-FFF2-40B4-BE49-F238E27FC236}">
              <a16:creationId xmlns:a16="http://schemas.microsoft.com/office/drawing/2014/main" id="{DA3800F9-2DC8-4C0D-BCF5-81F97C0874A5}"/>
            </a:ext>
          </a:extLst>
        </xdr:cNvPr>
        <xdr:cNvCxnSpPr/>
      </xdr:nvCxnSpPr>
      <xdr:spPr>
        <a:xfrm>
          <a:off x="17632680" y="647700"/>
          <a:ext cx="0" cy="6398514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438148</xdr:colOff>
      <xdr:row>87</xdr:row>
      <xdr:rowOff>19049</xdr:rowOff>
    </xdr:from>
    <xdr:to>
      <xdr:col>63</xdr:col>
      <xdr:colOff>347661</xdr:colOff>
      <xdr:row>115</xdr:row>
      <xdr:rowOff>0</xdr:rowOff>
    </xdr:to>
    <xdr:graphicFrame macro="">
      <xdr:nvGraphicFramePr>
        <xdr:cNvPr id="10" name="Chart 9">
          <a:extLst>
            <a:ext uri="{FF2B5EF4-FFF2-40B4-BE49-F238E27FC236}">
              <a16:creationId xmlns:a16="http://schemas.microsoft.com/office/drawing/2014/main" id="{F07C6A15-0B6F-2991-08BB-5BA5C80DF2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0</xdr:colOff>
      <xdr:row>5</xdr:row>
      <xdr:rowOff>0</xdr:rowOff>
    </xdr:from>
    <xdr:to>
      <xdr:col>35</xdr:col>
      <xdr:colOff>0</xdr:colOff>
      <xdr:row>866</xdr:row>
      <xdr:rowOff>68580</xdr:rowOff>
    </xdr:to>
    <xdr:cxnSp macro="">
      <xdr:nvCxnSpPr>
        <xdr:cNvPr id="4" name="Straight Connector 3">
          <a:extLst>
            <a:ext uri="{FF2B5EF4-FFF2-40B4-BE49-F238E27FC236}">
              <a16:creationId xmlns:a16="http://schemas.microsoft.com/office/drawing/2014/main" id="{DB01C47B-E2F6-4591-BC64-F8B901262186}"/>
            </a:ext>
          </a:extLst>
        </xdr:cNvPr>
        <xdr:cNvCxnSpPr/>
      </xdr:nvCxnSpPr>
      <xdr:spPr>
        <a:xfrm>
          <a:off x="14971059" y="728382"/>
          <a:ext cx="0" cy="12236958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128587</xdr:colOff>
      <xdr:row>31</xdr:row>
      <xdr:rowOff>109537</xdr:rowOff>
    </xdr:from>
    <xdr:to>
      <xdr:col>59</xdr:col>
      <xdr:colOff>261937</xdr:colOff>
      <xdr:row>50</xdr:row>
      <xdr:rowOff>109537</xdr:rowOff>
    </xdr:to>
    <xdr:graphicFrame macro="">
      <xdr:nvGraphicFramePr>
        <xdr:cNvPr id="12" name="Chart 11">
          <a:extLst>
            <a:ext uri="{FF2B5EF4-FFF2-40B4-BE49-F238E27FC236}">
              <a16:creationId xmlns:a16="http://schemas.microsoft.com/office/drawing/2014/main" id="{B9F30E14-5552-B9DA-73A0-12B45F1DB6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34</xdr:col>
      <xdr:colOff>0</xdr:colOff>
      <xdr:row>5</xdr:row>
      <xdr:rowOff>0</xdr:rowOff>
    </xdr:from>
    <xdr:to>
      <xdr:col>34</xdr:col>
      <xdr:colOff>0</xdr:colOff>
      <xdr:row>866</xdr:row>
      <xdr:rowOff>68580</xdr:rowOff>
    </xdr:to>
    <xdr:cxnSp macro="">
      <xdr:nvCxnSpPr>
        <xdr:cNvPr id="13" name="Straight Connector 12">
          <a:extLst>
            <a:ext uri="{FF2B5EF4-FFF2-40B4-BE49-F238E27FC236}">
              <a16:creationId xmlns:a16="http://schemas.microsoft.com/office/drawing/2014/main" id="{03257439-1779-46F5-855A-9A58EBD03A73}"/>
            </a:ext>
          </a:extLst>
        </xdr:cNvPr>
        <xdr:cNvCxnSpPr/>
      </xdr:nvCxnSpPr>
      <xdr:spPr>
        <a:xfrm>
          <a:off x="13586460" y="685800"/>
          <a:ext cx="0" cy="1142619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448235</xdr:colOff>
      <xdr:row>6</xdr:row>
      <xdr:rowOff>0</xdr:rowOff>
    </xdr:from>
    <xdr:to>
      <xdr:col>12</xdr:col>
      <xdr:colOff>448235</xdr:colOff>
      <xdr:row>63</xdr:row>
      <xdr:rowOff>98612</xdr:rowOff>
    </xdr:to>
    <xdr:cxnSp macro="">
      <xdr:nvCxnSpPr>
        <xdr:cNvPr id="4" name="Straight Connector 3">
          <a:extLst>
            <a:ext uri="{FF2B5EF4-FFF2-40B4-BE49-F238E27FC236}">
              <a16:creationId xmlns:a16="http://schemas.microsoft.com/office/drawing/2014/main" id="{A6F08FE8-F4B3-ABA4-75AB-08D92262E9CE}"/>
            </a:ext>
          </a:extLst>
        </xdr:cNvPr>
        <xdr:cNvCxnSpPr/>
      </xdr:nvCxnSpPr>
      <xdr:spPr>
        <a:xfrm>
          <a:off x="3845859" y="753035"/>
          <a:ext cx="0" cy="7171765"/>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6</xdr:row>
      <xdr:rowOff>0</xdr:rowOff>
    </xdr:from>
    <xdr:to>
      <xdr:col>10</xdr:col>
      <xdr:colOff>0</xdr:colOff>
      <xdr:row>63</xdr:row>
      <xdr:rowOff>98612</xdr:rowOff>
    </xdr:to>
    <xdr:cxnSp macro="">
      <xdr:nvCxnSpPr>
        <xdr:cNvPr id="2" name="Straight Connector 1">
          <a:extLst>
            <a:ext uri="{FF2B5EF4-FFF2-40B4-BE49-F238E27FC236}">
              <a16:creationId xmlns:a16="http://schemas.microsoft.com/office/drawing/2014/main" id="{B8E756B8-9348-4C92-91E9-500E6D5CC8B7}"/>
            </a:ext>
          </a:extLst>
        </xdr:cNvPr>
        <xdr:cNvCxnSpPr/>
      </xdr:nvCxnSpPr>
      <xdr:spPr>
        <a:xfrm>
          <a:off x="3322320" y="777240"/>
          <a:ext cx="0" cy="7764332"/>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0</xdr:colOff>
      <xdr:row>4</xdr:row>
      <xdr:rowOff>0</xdr:rowOff>
    </xdr:from>
    <xdr:to>
      <xdr:col>11</xdr:col>
      <xdr:colOff>0</xdr:colOff>
      <xdr:row>45</xdr:row>
      <xdr:rowOff>114300</xdr:rowOff>
    </xdr:to>
    <xdr:cxnSp macro="">
      <xdr:nvCxnSpPr>
        <xdr:cNvPr id="3" name="Straight Connector 2">
          <a:extLst>
            <a:ext uri="{FF2B5EF4-FFF2-40B4-BE49-F238E27FC236}">
              <a16:creationId xmlns:a16="http://schemas.microsoft.com/office/drawing/2014/main" id="{3BF98CDF-3054-5638-9F84-0AEF45265F76}"/>
            </a:ext>
          </a:extLst>
        </xdr:cNvPr>
        <xdr:cNvCxnSpPr/>
      </xdr:nvCxnSpPr>
      <xdr:spPr>
        <a:xfrm>
          <a:off x="3819525" y="571500"/>
          <a:ext cx="0" cy="6200775"/>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xdr:row>
      <xdr:rowOff>2</xdr:rowOff>
    </xdr:from>
    <xdr:to>
      <xdr:col>8</xdr:col>
      <xdr:colOff>0</xdr:colOff>
      <xdr:row>46</xdr:row>
      <xdr:rowOff>114302</xdr:rowOff>
    </xdr:to>
    <xdr:cxnSp macro="">
      <xdr:nvCxnSpPr>
        <xdr:cNvPr id="4" name="Straight Connector 3">
          <a:extLst>
            <a:ext uri="{FF2B5EF4-FFF2-40B4-BE49-F238E27FC236}">
              <a16:creationId xmlns:a16="http://schemas.microsoft.com/office/drawing/2014/main" id="{14F89450-E2F1-4D71-99F7-CCA2883E3B0A}"/>
            </a:ext>
          </a:extLst>
        </xdr:cNvPr>
        <xdr:cNvCxnSpPr/>
      </xdr:nvCxnSpPr>
      <xdr:spPr>
        <a:xfrm>
          <a:off x="4283529" y="707573"/>
          <a:ext cx="0" cy="6177643"/>
        </a:xfrm>
        <a:prstGeom prst="line">
          <a:avLst/>
        </a:prstGeom>
        <a:ln>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0</xdr:colOff>
      <xdr:row>5</xdr:row>
      <xdr:rowOff>0</xdr:rowOff>
    </xdr:from>
    <xdr:to>
      <xdr:col>7</xdr:col>
      <xdr:colOff>0</xdr:colOff>
      <xdr:row>36</xdr:row>
      <xdr:rowOff>114301</xdr:rowOff>
    </xdr:to>
    <xdr:cxnSp macro="">
      <xdr:nvCxnSpPr>
        <xdr:cNvPr id="2" name="Straight Connector 1">
          <a:extLst>
            <a:ext uri="{FF2B5EF4-FFF2-40B4-BE49-F238E27FC236}">
              <a16:creationId xmlns:a16="http://schemas.microsoft.com/office/drawing/2014/main" id="{7DC2DC00-A807-48E9-BD72-778056A53EEC}"/>
            </a:ext>
          </a:extLst>
        </xdr:cNvPr>
        <xdr:cNvCxnSpPr/>
      </xdr:nvCxnSpPr>
      <xdr:spPr>
        <a:xfrm>
          <a:off x="3677478" y="662609"/>
          <a:ext cx="0" cy="432186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4</xdr:row>
      <xdr:rowOff>0</xdr:rowOff>
    </xdr:from>
    <xdr:to>
      <xdr:col>6</xdr:col>
      <xdr:colOff>0</xdr:colOff>
      <xdr:row>45</xdr:row>
      <xdr:rowOff>0</xdr:rowOff>
    </xdr:to>
    <xdr:cxnSp macro="">
      <xdr:nvCxnSpPr>
        <xdr:cNvPr id="2" name="Straight Connector 1">
          <a:extLst>
            <a:ext uri="{FF2B5EF4-FFF2-40B4-BE49-F238E27FC236}">
              <a16:creationId xmlns:a16="http://schemas.microsoft.com/office/drawing/2014/main" id="{D6137252-953B-4C08-A6A8-A9362BBF6048}"/>
            </a:ext>
          </a:extLst>
        </xdr:cNvPr>
        <xdr:cNvCxnSpPr/>
      </xdr:nvCxnSpPr>
      <xdr:spPr>
        <a:xfrm>
          <a:off x="6248400" y="541020"/>
          <a:ext cx="0" cy="6019800"/>
        </a:xfrm>
        <a:prstGeom prst="line">
          <a:avLst/>
        </a:prstGeom>
        <a:ln w="12700">
          <a:solidFill>
            <a:sysClr val="windowText" lastClr="00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0</xdr:colOff>
      <xdr:row>5</xdr:row>
      <xdr:rowOff>0</xdr:rowOff>
    </xdr:from>
    <xdr:to>
      <xdr:col>5</xdr:col>
      <xdr:colOff>0</xdr:colOff>
      <xdr:row>44</xdr:row>
      <xdr:rowOff>134471</xdr:rowOff>
    </xdr:to>
    <xdr:cxnSp macro="">
      <xdr:nvCxnSpPr>
        <xdr:cNvPr id="3" name="Straight Connector 2">
          <a:extLst>
            <a:ext uri="{FF2B5EF4-FFF2-40B4-BE49-F238E27FC236}">
              <a16:creationId xmlns:a16="http://schemas.microsoft.com/office/drawing/2014/main" id="{5416CA2B-B936-403B-A978-13DC52B86F0C}"/>
            </a:ext>
          </a:extLst>
        </xdr:cNvPr>
        <xdr:cNvCxnSpPr/>
      </xdr:nvCxnSpPr>
      <xdr:spPr>
        <a:xfrm>
          <a:off x="5402580" y="678180"/>
          <a:ext cx="0" cy="5879951"/>
        </a:xfrm>
        <a:prstGeom prst="line">
          <a:avLst/>
        </a:prstGeom>
        <a:ln w="12700">
          <a:solidFill>
            <a:sysClr val="windowText" lastClr="000000"/>
          </a:solidFill>
          <a:prstDash val="sysDot"/>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0</xdr:colOff>
      <xdr:row>5</xdr:row>
      <xdr:rowOff>0</xdr:rowOff>
    </xdr:from>
    <xdr:to>
      <xdr:col>7</xdr:col>
      <xdr:colOff>0</xdr:colOff>
      <xdr:row>44</xdr:row>
      <xdr:rowOff>134471</xdr:rowOff>
    </xdr:to>
    <xdr:cxnSp macro="">
      <xdr:nvCxnSpPr>
        <xdr:cNvPr id="4" name="Straight Connector 3">
          <a:extLst>
            <a:ext uri="{FF2B5EF4-FFF2-40B4-BE49-F238E27FC236}">
              <a16:creationId xmlns:a16="http://schemas.microsoft.com/office/drawing/2014/main" id="{2B228210-696D-4556-99FC-5BA7F2F7B7EA}"/>
            </a:ext>
          </a:extLst>
        </xdr:cNvPr>
        <xdr:cNvCxnSpPr/>
      </xdr:nvCxnSpPr>
      <xdr:spPr>
        <a:xfrm>
          <a:off x="7094220" y="678180"/>
          <a:ext cx="0" cy="5879951"/>
        </a:xfrm>
        <a:prstGeom prst="line">
          <a:avLst/>
        </a:prstGeom>
        <a:ln w="12700">
          <a:solidFill>
            <a:sysClr val="windowText" lastClr="000000"/>
          </a:solidFill>
          <a:prstDash val="sysDot"/>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5</xdr:row>
      <xdr:rowOff>0</xdr:rowOff>
    </xdr:from>
    <xdr:to>
      <xdr:col>8</xdr:col>
      <xdr:colOff>0</xdr:colOff>
      <xdr:row>122</xdr:row>
      <xdr:rowOff>19050</xdr:rowOff>
    </xdr:to>
    <xdr:cxnSp macro="">
      <xdr:nvCxnSpPr>
        <xdr:cNvPr id="4" name="Straight Connector 3">
          <a:extLst>
            <a:ext uri="{FF2B5EF4-FFF2-40B4-BE49-F238E27FC236}">
              <a16:creationId xmlns:a16="http://schemas.microsoft.com/office/drawing/2014/main" id="{AACA771F-D38A-1FCA-8694-57DAAA9C9E79}"/>
            </a:ext>
          </a:extLst>
        </xdr:cNvPr>
        <xdr:cNvCxnSpPr/>
      </xdr:nvCxnSpPr>
      <xdr:spPr>
        <a:xfrm>
          <a:off x="4219575" y="714375"/>
          <a:ext cx="0" cy="135636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xdr:row>
      <xdr:rowOff>0</xdr:rowOff>
    </xdr:from>
    <xdr:to>
      <xdr:col>12</xdr:col>
      <xdr:colOff>0</xdr:colOff>
      <xdr:row>122</xdr:row>
      <xdr:rowOff>19050</xdr:rowOff>
    </xdr:to>
    <xdr:cxnSp macro="">
      <xdr:nvCxnSpPr>
        <xdr:cNvPr id="5" name="Straight Connector 4">
          <a:extLst>
            <a:ext uri="{FF2B5EF4-FFF2-40B4-BE49-F238E27FC236}">
              <a16:creationId xmlns:a16="http://schemas.microsoft.com/office/drawing/2014/main" id="{EA79C1F0-A828-463A-AFA9-A6BD0C1FABE7}"/>
            </a:ext>
          </a:extLst>
        </xdr:cNvPr>
        <xdr:cNvCxnSpPr/>
      </xdr:nvCxnSpPr>
      <xdr:spPr>
        <a:xfrm>
          <a:off x="6353175" y="714375"/>
          <a:ext cx="0" cy="135636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5</xdr:row>
      <xdr:rowOff>0</xdr:rowOff>
    </xdr:from>
    <xdr:to>
      <xdr:col>16</xdr:col>
      <xdr:colOff>0</xdr:colOff>
      <xdr:row>122</xdr:row>
      <xdr:rowOff>19050</xdr:rowOff>
    </xdr:to>
    <xdr:cxnSp macro="">
      <xdr:nvCxnSpPr>
        <xdr:cNvPr id="6" name="Straight Connector 5">
          <a:extLst>
            <a:ext uri="{FF2B5EF4-FFF2-40B4-BE49-F238E27FC236}">
              <a16:creationId xmlns:a16="http://schemas.microsoft.com/office/drawing/2014/main" id="{73895C02-0E47-4923-B55F-EA1D44CD3253}"/>
            </a:ext>
          </a:extLst>
        </xdr:cNvPr>
        <xdr:cNvCxnSpPr/>
      </xdr:nvCxnSpPr>
      <xdr:spPr>
        <a:xfrm>
          <a:off x="8486775" y="714375"/>
          <a:ext cx="0" cy="135636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5</xdr:row>
      <xdr:rowOff>0</xdr:rowOff>
    </xdr:from>
    <xdr:to>
      <xdr:col>20</xdr:col>
      <xdr:colOff>0</xdr:colOff>
      <xdr:row>122</xdr:row>
      <xdr:rowOff>19050</xdr:rowOff>
    </xdr:to>
    <xdr:cxnSp macro="">
      <xdr:nvCxnSpPr>
        <xdr:cNvPr id="7" name="Straight Connector 6">
          <a:extLst>
            <a:ext uri="{FF2B5EF4-FFF2-40B4-BE49-F238E27FC236}">
              <a16:creationId xmlns:a16="http://schemas.microsoft.com/office/drawing/2014/main" id="{D5875293-4987-42EA-B732-27C38140ADD5}"/>
            </a:ext>
          </a:extLst>
        </xdr:cNvPr>
        <xdr:cNvCxnSpPr/>
      </xdr:nvCxnSpPr>
      <xdr:spPr>
        <a:xfrm>
          <a:off x="10620375" y="714375"/>
          <a:ext cx="0" cy="135636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5</xdr:row>
      <xdr:rowOff>0</xdr:rowOff>
    </xdr:from>
    <xdr:to>
      <xdr:col>24</xdr:col>
      <xdr:colOff>0</xdr:colOff>
      <xdr:row>122</xdr:row>
      <xdr:rowOff>19050</xdr:rowOff>
    </xdr:to>
    <xdr:cxnSp macro="">
      <xdr:nvCxnSpPr>
        <xdr:cNvPr id="8" name="Straight Connector 7">
          <a:extLst>
            <a:ext uri="{FF2B5EF4-FFF2-40B4-BE49-F238E27FC236}">
              <a16:creationId xmlns:a16="http://schemas.microsoft.com/office/drawing/2014/main" id="{BB6D11EC-723D-4C8D-A2A8-71AA458C867D}"/>
            </a:ext>
          </a:extLst>
        </xdr:cNvPr>
        <xdr:cNvCxnSpPr/>
      </xdr:nvCxnSpPr>
      <xdr:spPr>
        <a:xfrm>
          <a:off x="12753975" y="714375"/>
          <a:ext cx="0" cy="135636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350520</xdr:colOff>
      <xdr:row>66</xdr:row>
      <xdr:rowOff>30480</xdr:rowOff>
    </xdr:from>
    <xdr:to>
      <xdr:col>49</xdr:col>
      <xdr:colOff>252339</xdr:colOff>
      <xdr:row>111</xdr:row>
      <xdr:rowOff>107211</xdr:rowOff>
    </xdr:to>
    <xdr:pic>
      <xdr:nvPicPr>
        <xdr:cNvPr id="2" name="Picture 1">
          <a:extLst>
            <a:ext uri="{FF2B5EF4-FFF2-40B4-BE49-F238E27FC236}">
              <a16:creationId xmlns:a16="http://schemas.microsoft.com/office/drawing/2014/main" id="{08653A51-4EE5-4926-4CB6-87443DACDE84}"/>
            </a:ext>
          </a:extLst>
        </xdr:cNvPr>
        <xdr:cNvPicPr>
          <a:picLocks noChangeAspect="1"/>
        </xdr:cNvPicPr>
      </xdr:nvPicPr>
      <xdr:blipFill>
        <a:blip xmlns:r="http://schemas.openxmlformats.org/officeDocument/2006/relationships" r:embed="rId1"/>
        <a:stretch>
          <a:fillRect/>
        </a:stretch>
      </xdr:blipFill>
      <xdr:spPr>
        <a:xfrm>
          <a:off x="14180820" y="5974080"/>
          <a:ext cx="10143099" cy="611177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106680</xdr:colOff>
      <xdr:row>25</xdr:row>
      <xdr:rowOff>57150</xdr:rowOff>
    </xdr:from>
    <xdr:to>
      <xdr:col>13</xdr:col>
      <xdr:colOff>198120</xdr:colOff>
      <xdr:row>55</xdr:row>
      <xdr:rowOff>7620</xdr:rowOff>
    </xdr:to>
    <xdr:graphicFrame macro="">
      <xdr:nvGraphicFramePr>
        <xdr:cNvPr id="2" name="Chart 1">
          <a:extLst>
            <a:ext uri="{FF2B5EF4-FFF2-40B4-BE49-F238E27FC236}">
              <a16:creationId xmlns:a16="http://schemas.microsoft.com/office/drawing/2014/main" id="{C05E40DA-731C-C021-101F-857D7FBF0C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982980</xdr:colOff>
      <xdr:row>28</xdr:row>
      <xdr:rowOff>60960</xdr:rowOff>
    </xdr:from>
    <xdr:to>
      <xdr:col>5</xdr:col>
      <xdr:colOff>274320</xdr:colOff>
      <xdr:row>30</xdr:row>
      <xdr:rowOff>60960</xdr:rowOff>
    </xdr:to>
    <xdr:sp macro="" textlink="">
      <xdr:nvSpPr>
        <xdr:cNvPr id="3" name="TextBox 2">
          <a:extLst>
            <a:ext uri="{FF2B5EF4-FFF2-40B4-BE49-F238E27FC236}">
              <a16:creationId xmlns:a16="http://schemas.microsoft.com/office/drawing/2014/main" id="{13ED8EDC-AA65-7B96-23B4-F05B83D16CD1}"/>
            </a:ext>
          </a:extLst>
        </xdr:cNvPr>
        <xdr:cNvSpPr txBox="1"/>
      </xdr:nvSpPr>
      <xdr:spPr>
        <a:xfrm>
          <a:off x="1127760" y="3756660"/>
          <a:ext cx="1516380" cy="259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1"/>
            <a:t>Pre-Temu</a:t>
          </a:r>
          <a:r>
            <a:rPr lang="en-US" sz="1100" b="1" i="1" baseline="0"/>
            <a:t> Period</a:t>
          </a:r>
          <a:endParaRPr lang="en-US" sz="1100" b="1" i="1"/>
        </a:p>
      </xdr:txBody>
    </xdr:sp>
    <xdr:clientData/>
  </xdr:twoCellAnchor>
</xdr:wsDr>
</file>

<file path=xl/drawings/drawing10.xml><?xml version="1.0" encoding="utf-8"?>
<c:userShapes xmlns:c="http://schemas.openxmlformats.org/drawingml/2006/chart">
  <cdr:relSizeAnchor xmlns:cdr="http://schemas.openxmlformats.org/drawingml/2006/chartDrawing">
    <cdr:from>
      <cdr:x>0.44118</cdr:x>
      <cdr:y>0.12016</cdr:y>
    </cdr:from>
    <cdr:to>
      <cdr:x>0.44118</cdr:x>
      <cdr:y>0.88878</cdr:y>
    </cdr:to>
    <cdr:cxnSp macro="">
      <cdr:nvCxnSpPr>
        <cdr:cNvPr id="3" name="Straight Connector 2">
          <a:extLst xmlns:a="http://schemas.openxmlformats.org/drawingml/2006/main">
            <a:ext uri="{FF2B5EF4-FFF2-40B4-BE49-F238E27FC236}">
              <a16:creationId xmlns:a16="http://schemas.microsoft.com/office/drawing/2014/main" id="{E55DFB5B-6412-A531-3405-9E51F1A16150}"/>
            </a:ext>
          </a:extLst>
        </cdr:cNvPr>
        <cdr:cNvCxnSpPr/>
      </cdr:nvCxnSpPr>
      <cdr:spPr>
        <a:xfrm xmlns:a="http://schemas.openxmlformats.org/drawingml/2006/main">
          <a:off x="2743200" y="461010"/>
          <a:ext cx="0" cy="2948940"/>
        </a:xfrm>
        <a:prstGeom xmlns:a="http://schemas.openxmlformats.org/drawingml/2006/main" prst="line">
          <a:avLst/>
        </a:prstGeom>
        <a:ln xmlns:a="http://schemas.openxmlformats.org/drawingml/2006/main">
          <a:solidFill>
            <a:sysClr val="windowText" lastClr="000000"/>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11.xml><?xml version="1.0" encoding="utf-8"?>
<xdr:wsDr xmlns:xdr="http://schemas.openxmlformats.org/drawingml/2006/spreadsheetDrawing" xmlns:a="http://schemas.openxmlformats.org/drawingml/2006/main">
  <xdr:twoCellAnchor>
    <xdr:from>
      <xdr:col>1</xdr:col>
      <xdr:colOff>122580</xdr:colOff>
      <xdr:row>32</xdr:row>
      <xdr:rowOff>89450</xdr:rowOff>
    </xdr:from>
    <xdr:to>
      <xdr:col>12</xdr:col>
      <xdr:colOff>144779</xdr:colOff>
      <xdr:row>54</xdr:row>
      <xdr:rowOff>45720</xdr:rowOff>
    </xdr:to>
    <xdr:graphicFrame macro="">
      <xdr:nvGraphicFramePr>
        <xdr:cNvPr id="2" name="Chart 1">
          <a:extLst>
            <a:ext uri="{FF2B5EF4-FFF2-40B4-BE49-F238E27FC236}">
              <a16:creationId xmlns:a16="http://schemas.microsoft.com/office/drawing/2014/main" id="{EDE204DC-DA85-73EE-6EB5-8A81CBA810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399505</xdr:colOff>
      <xdr:row>32</xdr:row>
      <xdr:rowOff>83820</xdr:rowOff>
    </xdr:from>
    <xdr:to>
      <xdr:col>22</xdr:col>
      <xdr:colOff>122347</xdr:colOff>
      <xdr:row>54</xdr:row>
      <xdr:rowOff>40090</xdr:rowOff>
    </xdr:to>
    <xdr:graphicFrame macro="">
      <xdr:nvGraphicFramePr>
        <xdr:cNvPr id="3" name="Chart 2">
          <a:extLst>
            <a:ext uri="{FF2B5EF4-FFF2-40B4-BE49-F238E27FC236}">
              <a16:creationId xmlns:a16="http://schemas.microsoft.com/office/drawing/2014/main" id="{B15F1741-97FF-4913-A7EA-10BA8C8092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115389</xdr:colOff>
      <xdr:row>55</xdr:row>
      <xdr:rowOff>9797</xdr:rowOff>
    </xdr:from>
    <xdr:to>
      <xdr:col>12</xdr:col>
      <xdr:colOff>137588</xdr:colOff>
      <xdr:row>76</xdr:row>
      <xdr:rowOff>96694</xdr:rowOff>
    </xdr:to>
    <xdr:graphicFrame macro="">
      <xdr:nvGraphicFramePr>
        <xdr:cNvPr id="4" name="Chart 3">
          <a:extLst>
            <a:ext uri="{FF2B5EF4-FFF2-40B4-BE49-F238E27FC236}">
              <a16:creationId xmlns:a16="http://schemas.microsoft.com/office/drawing/2014/main" id="{CFB4F2C5-C908-4079-9054-06676126B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DA739-E213-4419-84D0-5192A8AF2A05}">
  <dimension ref="A1:M1"/>
  <sheetViews>
    <sheetView workbookViewId="0"/>
  </sheetViews>
  <sheetFormatPr defaultRowHeight="11.25" x14ac:dyDescent="0.2"/>
  <sheetData>
    <row r="1" spans="1:13" x14ac:dyDescent="0.2">
      <c r="A1">
        <v>13</v>
      </c>
      <c r="B1" t="s">
        <v>598</v>
      </c>
      <c r="C1" t="s">
        <v>599</v>
      </c>
      <c r="D1" t="s">
        <v>590</v>
      </c>
      <c r="E1" t="s">
        <v>591</v>
      </c>
      <c r="F1" t="s">
        <v>592</v>
      </c>
      <c r="G1" t="s">
        <v>593</v>
      </c>
      <c r="H1" t="s">
        <v>600</v>
      </c>
      <c r="I1" t="s">
        <v>594</v>
      </c>
      <c r="J1" t="s">
        <v>595</v>
      </c>
      <c r="K1" t="s">
        <v>596</v>
      </c>
      <c r="L1" t="s">
        <v>597</v>
      </c>
      <c r="M1" t="s">
        <v>601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50550-3646-4A7A-81A5-AA4D3764A477}">
  <sheetPr>
    <pageSetUpPr fitToPage="1"/>
  </sheetPr>
  <dimension ref="B1:AF134"/>
  <sheetViews>
    <sheetView tabSelected="1" view="pageBreakPreview" topLeftCell="A55" zoomScale="85" zoomScaleNormal="100" zoomScaleSheetLayoutView="85" workbookViewId="0">
      <selection activeCell="C61" sqref="C61"/>
    </sheetView>
  </sheetViews>
  <sheetFormatPr defaultColWidth="10.6640625" defaultRowHeight="11.25" outlineLevelRow="1" outlineLevelCol="1" x14ac:dyDescent="0.2"/>
  <cols>
    <col min="1" max="1" width="2.83203125" style="61" customWidth="1"/>
    <col min="2" max="2" width="30" style="61" customWidth="1"/>
    <col min="3" max="3" width="3" style="61" customWidth="1"/>
    <col min="4" max="4" width="12.83203125" style="61" hidden="1" customWidth="1" outlineLevel="1"/>
    <col min="5" max="5" width="12.6640625" style="61" customWidth="1" collapsed="1"/>
    <col min="6" max="21" width="12.6640625" style="61" customWidth="1"/>
    <col min="22" max="16384" width="10.6640625" style="61"/>
  </cols>
  <sheetData>
    <row r="1" spans="2:23" ht="10.15" x14ac:dyDescent="0.2">
      <c r="E1" s="75"/>
      <c r="F1" s="75"/>
      <c r="G1" s="75"/>
      <c r="I1" s="75"/>
      <c r="J1" s="71" t="s">
        <v>456</v>
      </c>
      <c r="K1" s="71" t="s">
        <v>457</v>
      </c>
      <c r="L1" s="71" t="s">
        <v>458</v>
      </c>
      <c r="T1" s="75"/>
      <c r="U1" s="75"/>
    </row>
    <row r="2" spans="2:23" ht="10.15" x14ac:dyDescent="0.2">
      <c r="B2" s="60" t="s">
        <v>0</v>
      </c>
      <c r="M2" s="62"/>
      <c r="N2" s="63"/>
      <c r="O2" s="63"/>
      <c r="P2" s="63"/>
      <c r="U2" s="64">
        <v>45657</v>
      </c>
    </row>
    <row r="3" spans="2:23" s="66" customFormat="1" ht="10.15" x14ac:dyDescent="0.2">
      <c r="B3" s="65" t="s">
        <v>311</v>
      </c>
    </row>
    <row r="4" spans="2:23" ht="10.15" x14ac:dyDescent="0.2">
      <c r="B4" s="3" t="s">
        <v>108</v>
      </c>
    </row>
    <row r="5" spans="2:23" ht="10.15" x14ac:dyDescent="0.2">
      <c r="E5" s="67" t="s">
        <v>58</v>
      </c>
      <c r="F5" s="68"/>
      <c r="G5" s="68"/>
      <c r="H5" s="68"/>
      <c r="I5" s="68"/>
      <c r="J5" s="68"/>
      <c r="K5" s="68"/>
      <c r="L5" s="68"/>
      <c r="M5" s="68"/>
      <c r="N5" s="68"/>
      <c r="O5" s="68"/>
      <c r="P5" s="68"/>
      <c r="Q5" s="68"/>
      <c r="R5" s="68"/>
      <c r="S5" s="68"/>
      <c r="T5" s="68"/>
      <c r="U5" s="68"/>
    </row>
    <row r="6" spans="2:23" ht="12" x14ac:dyDescent="0.35">
      <c r="D6" s="69" t="s">
        <v>52</v>
      </c>
      <c r="E6" s="69" t="s">
        <v>53</v>
      </c>
      <c r="F6" s="69" t="s">
        <v>54</v>
      </c>
      <c r="G6" s="69" t="s">
        <v>55</v>
      </c>
      <c r="H6" s="69" t="s">
        <v>56</v>
      </c>
      <c r="I6" s="69" t="s">
        <v>259</v>
      </c>
      <c r="J6" s="69" t="s">
        <v>57</v>
      </c>
      <c r="K6" s="69" t="s">
        <v>267</v>
      </c>
      <c r="L6" s="69" t="s">
        <v>268</v>
      </c>
      <c r="M6" s="69" t="s">
        <v>269</v>
      </c>
      <c r="N6" s="69" t="s">
        <v>270</v>
      </c>
      <c r="O6" s="69" t="s">
        <v>271</v>
      </c>
      <c r="P6" s="69" t="s">
        <v>272</v>
      </c>
      <c r="Q6" s="69" t="s">
        <v>273</v>
      </c>
      <c r="R6" s="69" t="s">
        <v>274</v>
      </c>
      <c r="S6" s="69" t="s">
        <v>275</v>
      </c>
      <c r="T6" s="69" t="s">
        <v>276</v>
      </c>
      <c r="U6" s="69" t="s">
        <v>362</v>
      </c>
    </row>
    <row r="7" spans="2:23" ht="10.15" x14ac:dyDescent="0.2">
      <c r="E7" s="70"/>
      <c r="F7" s="70"/>
      <c r="G7" s="70"/>
      <c r="H7" s="70"/>
      <c r="I7" s="70"/>
      <c r="J7" s="70">
        <v>45657</v>
      </c>
      <c r="K7" s="70">
        <v>46022</v>
      </c>
      <c r="L7" s="70">
        <v>46387</v>
      </c>
      <c r="M7" s="70">
        <v>46752</v>
      </c>
      <c r="N7" s="70">
        <v>47118</v>
      </c>
      <c r="O7" s="70">
        <v>47483</v>
      </c>
      <c r="P7" s="70">
        <v>47848</v>
      </c>
      <c r="Q7" s="70">
        <v>48213</v>
      </c>
      <c r="R7" s="70">
        <v>48579</v>
      </c>
      <c r="S7" s="70">
        <v>48944</v>
      </c>
      <c r="T7" s="70">
        <v>49309</v>
      </c>
      <c r="U7" s="70">
        <v>49674</v>
      </c>
    </row>
    <row r="8" spans="2:23" ht="10.15" x14ac:dyDescent="0.2">
      <c r="B8" s="71" t="s">
        <v>358</v>
      </c>
      <c r="D8" s="73">
        <f>+'TAM_Penetration - Case 1'!D19</f>
        <v>282960.00000000006</v>
      </c>
      <c r="E8" s="73">
        <f>+'TAM_Penetration - Case 1'!E19</f>
        <v>603960</v>
      </c>
      <c r="F8" s="73">
        <f>+'TAM_Penetration - Case 1'!F19</f>
        <v>1004632.4999999998</v>
      </c>
      <c r="G8" s="73">
        <f>+'TAM_Penetration - Case 1'!G19</f>
        <v>1492323.0885635172</v>
      </c>
      <c r="H8" s="73">
        <f>+'TAM_Penetration - Case 1'!H19</f>
        <v>1816496.4371076007</v>
      </c>
      <c r="I8" s="73">
        <f>+'TAM_Penetration - Case 1'!I19</f>
        <v>2265792.1406162223</v>
      </c>
      <c r="J8" s="73">
        <f>+'TAM_Penetration - Case 1'!J19</f>
        <v>2683402.2397207366</v>
      </c>
      <c r="K8" s="73">
        <f>+'TAM_Penetration - Case 1'!K19</f>
        <v>3066389.4312508102</v>
      </c>
      <c r="L8" s="73">
        <f>+'TAM_Penetration - Case 1'!L19</f>
        <v>3516499.5007010126</v>
      </c>
      <c r="M8" s="73">
        <f>+'TAM_Penetration - Case 1'!M19</f>
        <v>4005116.5662024878</v>
      </c>
      <c r="N8" s="73">
        <f>+'TAM_Penetration - Case 1'!N19</f>
        <v>4531734.7336380761</v>
      </c>
      <c r="O8" s="73">
        <f>+'TAM_Penetration - Case 1'!O19</f>
        <v>5095400.3371836124</v>
      </c>
      <c r="P8" s="73">
        <f>+'TAM_Penetration - Case 1'!P19</f>
        <v>5694725.6466460684</v>
      </c>
      <c r="Q8" s="73">
        <f>+'TAM_Penetration - Case 1'!Q19</f>
        <v>6327912.1602322711</v>
      </c>
      <c r="R8" s="73">
        <f>+'TAM_Penetration - Case 1'!R19</f>
        <v>6992782.3325663647</v>
      </c>
      <c r="S8" s="73">
        <f>+'TAM_Penetration - Case 1'!S19</f>
        <v>7686818.3737153457</v>
      </c>
      <c r="T8" s="73">
        <f>+'TAM_Penetration - Case 1'!T19</f>
        <v>8407206.6197781526</v>
      </c>
      <c r="U8" s="73">
        <f>+'TAM_Penetration - Case 1'!U19</f>
        <v>9150885.9162637312</v>
      </c>
    </row>
    <row r="9" spans="2:23" ht="10.15" x14ac:dyDescent="0.2">
      <c r="B9" s="76" t="s">
        <v>85</v>
      </c>
      <c r="E9" s="142">
        <f>+IFERROR(E8/D8-1,"n/a")</f>
        <v>1.1344359626802372</v>
      </c>
      <c r="F9" s="142">
        <f t="shared" ref="F9:U9" si="0">+IFERROR(F8/E8-1,"n/a")</f>
        <v>0.66340900059606556</v>
      </c>
      <c r="G9" s="142">
        <f t="shared" si="0"/>
        <v>0.48544177951989176</v>
      </c>
      <c r="H9" s="142">
        <f t="shared" si="0"/>
        <v>0.21722732230600728</v>
      </c>
      <c r="I9" s="142">
        <f t="shared" si="0"/>
        <v>0.24734191288810514</v>
      </c>
      <c r="J9" s="142">
        <f t="shared" si="0"/>
        <v>0.1843108604794339</v>
      </c>
      <c r="K9" s="142">
        <f t="shared" si="0"/>
        <v>0.14272448083293376</v>
      </c>
      <c r="L9" s="142">
        <f t="shared" si="0"/>
        <v>0.14678829272725413</v>
      </c>
      <c r="M9" s="142">
        <f t="shared" si="0"/>
        <v>0.13894984640380859</v>
      </c>
      <c r="N9" s="142">
        <f t="shared" si="0"/>
        <v>0.13148635220245519</v>
      </c>
      <c r="O9" s="142">
        <f t="shared" si="0"/>
        <v>0.1243818618423469</v>
      </c>
      <c r="P9" s="142">
        <f t="shared" si="0"/>
        <v>0.11762084817730378</v>
      </c>
      <c r="Q9" s="142">
        <f t="shared" si="0"/>
        <v>0.11118823853421644</v>
      </c>
      <c r="R9" s="142">
        <f t="shared" si="0"/>
        <v>0.10506943767526766</v>
      </c>
      <c r="S9" s="142">
        <f t="shared" si="0"/>
        <v>9.9250342444774597E-2</v>
      </c>
      <c r="T9" s="142">
        <f t="shared" si="0"/>
        <v>9.3717349758924318E-2</v>
      </c>
      <c r="U9" s="142">
        <f t="shared" si="0"/>
        <v>8.8457359277462677E-2</v>
      </c>
    </row>
    <row r="10" spans="2:23" ht="10.15" x14ac:dyDescent="0.2">
      <c r="E10" s="70"/>
      <c r="F10" s="70"/>
      <c r="G10" s="70"/>
      <c r="H10" s="70"/>
      <c r="I10" s="70"/>
      <c r="J10" s="70"/>
      <c r="K10" s="70"/>
      <c r="L10" s="70"/>
      <c r="M10" s="70"/>
      <c r="N10" s="70"/>
      <c r="O10" s="70"/>
      <c r="P10" s="70"/>
      <c r="Q10" s="70"/>
      <c r="R10" s="70"/>
      <c r="S10" s="70"/>
      <c r="T10" s="70"/>
      <c r="U10" s="70"/>
    </row>
    <row r="11" spans="2:23" ht="10.15" x14ac:dyDescent="0.2">
      <c r="B11" s="71" t="s">
        <v>341</v>
      </c>
      <c r="C11" s="72"/>
      <c r="D11" s="74">
        <f>+D13-D12</f>
        <v>13119.990000000002</v>
      </c>
      <c r="E11" s="74">
        <f t="shared" ref="E11:I11" si="1">+E13-E12</f>
        <v>30141.885999999999</v>
      </c>
      <c r="F11" s="74">
        <f t="shared" si="1"/>
        <v>53741.194000000003</v>
      </c>
      <c r="G11" s="74">
        <f t="shared" si="1"/>
        <v>86703.850999999995</v>
      </c>
      <c r="H11" s="74">
        <f t="shared" si="1"/>
        <v>129913.15793149809</v>
      </c>
      <c r="I11" s="74">
        <f t="shared" si="1"/>
        <v>196165.52928097005</v>
      </c>
      <c r="J11" s="74">
        <f t="shared" ref="J11:K11" si="2">+J13-J12</f>
        <v>244136.81758436767</v>
      </c>
      <c r="K11" s="74">
        <f t="shared" si="2"/>
        <v>269106.55598953593</v>
      </c>
      <c r="L11" s="74">
        <f t="shared" ref="L11" si="3">+L13-L12</f>
        <v>308608.2479049511</v>
      </c>
      <c r="M11" s="74">
        <f t="shared" ref="M11" si="4">+M13-M12</f>
        <v>351489.31655029254</v>
      </c>
      <c r="N11" s="74">
        <f t="shared" ref="N11" si="5">+N13-N12</f>
        <v>397705.36462162458</v>
      </c>
      <c r="O11" s="74">
        <f t="shared" ref="O11" si="6">+O13-O12</f>
        <v>447172.69833795185</v>
      </c>
      <c r="P11" s="74">
        <f t="shared" ref="P11" si="7">+P13-P12</f>
        <v>499769.53039819526</v>
      </c>
      <c r="Q11" s="74">
        <f t="shared" ref="Q11" si="8">+Q13-Q12</f>
        <v>555338.02415624307</v>
      </c>
      <c r="R11" s="74">
        <f t="shared" ref="R11" si="9">+R13-R12</f>
        <v>613687.07807403384</v>
      </c>
      <c r="S11" s="74">
        <f t="shared" ref="S11" si="10">+S13-S12</f>
        <v>674595.73072681471</v>
      </c>
      <c r="T11" s="74">
        <f t="shared" ref="T11:U11" si="11">+T13-T12</f>
        <v>737817.05476921669</v>
      </c>
      <c r="U11" s="74">
        <f t="shared" si="11"/>
        <v>803082.40306397667</v>
      </c>
      <c r="V11" s="75"/>
      <c r="W11" s="72"/>
    </row>
    <row r="12" spans="2:23" ht="13.5" x14ac:dyDescent="0.35">
      <c r="B12" s="71" t="s">
        <v>342</v>
      </c>
      <c r="C12" s="72"/>
      <c r="D12" s="88">
        <f>+'Historical Financials'!AQ15</f>
        <v>0</v>
      </c>
      <c r="E12" s="88">
        <f>+'Historical Financials'!AR15</f>
        <v>0</v>
      </c>
      <c r="F12" s="88">
        <f>+'Historical Financials'!AS15</f>
        <v>5750.6710000000003</v>
      </c>
      <c r="G12" s="88">
        <f>+'Historical Financials'!AT15</f>
        <v>7246.0879999999997</v>
      </c>
      <c r="H12" s="88">
        <f>+'Historical Financials'!AU15</f>
        <v>209.17099999999999</v>
      </c>
      <c r="I12" s="88">
        <f>+'Historical Financials'!AV15</f>
        <v>0</v>
      </c>
      <c r="J12" s="88">
        <f>+'Historical Financials'!AW15</f>
        <v>0</v>
      </c>
      <c r="K12" s="88">
        <f>+'Historical Financials'!AX15</f>
        <v>0</v>
      </c>
      <c r="L12" s="138">
        <f t="shared" ref="L12:U12" si="12">+K12*(1+L22)</f>
        <v>0</v>
      </c>
      <c r="M12" s="138">
        <f t="shared" si="12"/>
        <v>0</v>
      </c>
      <c r="N12" s="138">
        <f t="shared" si="12"/>
        <v>0</v>
      </c>
      <c r="O12" s="138">
        <f t="shared" si="12"/>
        <v>0</v>
      </c>
      <c r="P12" s="138">
        <f t="shared" si="12"/>
        <v>0</v>
      </c>
      <c r="Q12" s="138">
        <f t="shared" si="12"/>
        <v>0</v>
      </c>
      <c r="R12" s="138">
        <f t="shared" si="12"/>
        <v>0</v>
      </c>
      <c r="S12" s="138">
        <f t="shared" si="12"/>
        <v>0</v>
      </c>
      <c r="T12" s="138">
        <f t="shared" si="12"/>
        <v>0</v>
      </c>
      <c r="U12" s="138">
        <f t="shared" si="12"/>
        <v>0</v>
      </c>
      <c r="V12" s="75"/>
      <c r="W12" s="72"/>
    </row>
    <row r="13" spans="2:23" ht="10.15" x14ac:dyDescent="0.2">
      <c r="B13" s="90" t="s">
        <v>339</v>
      </c>
      <c r="C13" s="72"/>
      <c r="D13" s="137">
        <f>+D15-D14</f>
        <v>13119.990000000002</v>
      </c>
      <c r="E13" s="137">
        <f t="shared" ref="E13:I13" si="13">+E15-E14</f>
        <v>30141.885999999999</v>
      </c>
      <c r="F13" s="137">
        <f t="shared" si="13"/>
        <v>59491.865000000005</v>
      </c>
      <c r="G13" s="137">
        <f t="shared" si="13"/>
        <v>93949.938999999998</v>
      </c>
      <c r="H13" s="137">
        <f t="shared" si="13"/>
        <v>130122.32893149809</v>
      </c>
      <c r="I13" s="137">
        <f t="shared" si="13"/>
        <v>196165.52928097005</v>
      </c>
      <c r="J13" s="137">
        <f t="shared" ref="J13:K13" si="14">+J15-J14</f>
        <v>244136.81758436767</v>
      </c>
      <c r="K13" s="137">
        <f t="shared" si="14"/>
        <v>269106.55598953593</v>
      </c>
      <c r="L13" s="137">
        <f t="shared" ref="L13:U13" si="15">+K13*(1+L23)</f>
        <v>308608.2479049511</v>
      </c>
      <c r="M13" s="137">
        <f t="shared" si="15"/>
        <v>351489.31655029254</v>
      </c>
      <c r="N13" s="137">
        <f t="shared" si="15"/>
        <v>397705.36462162458</v>
      </c>
      <c r="O13" s="137">
        <f t="shared" si="15"/>
        <v>447172.69833795185</v>
      </c>
      <c r="P13" s="137">
        <f t="shared" si="15"/>
        <v>499769.53039819526</v>
      </c>
      <c r="Q13" s="137">
        <f t="shared" si="15"/>
        <v>555338.02415624307</v>
      </c>
      <c r="R13" s="137">
        <f t="shared" si="15"/>
        <v>613687.07807403384</v>
      </c>
      <c r="S13" s="137">
        <f t="shared" si="15"/>
        <v>674595.73072681471</v>
      </c>
      <c r="T13" s="137">
        <f t="shared" si="15"/>
        <v>737817.05476921669</v>
      </c>
      <c r="U13" s="137">
        <f t="shared" si="15"/>
        <v>803082.40306397667</v>
      </c>
      <c r="V13" s="75"/>
      <c r="W13" s="72"/>
    </row>
    <row r="14" spans="2:23" ht="13.5" x14ac:dyDescent="0.35">
      <c r="B14" s="71" t="s">
        <v>340</v>
      </c>
      <c r="C14" s="72"/>
      <c r="D14" s="88">
        <f>+'Historical Financials'!AQ187</f>
        <v>0</v>
      </c>
      <c r="E14" s="88">
        <f>+'Historical Financials'!AR187</f>
        <v>0</v>
      </c>
      <c r="F14" s="88">
        <f>+'Historical Financials'!AS187</f>
        <v>0</v>
      </c>
      <c r="G14" s="88">
        <f>+'Historical Financials'!AT187</f>
        <v>0</v>
      </c>
      <c r="H14" s="88">
        <f>+'Historical Financials'!AU187</f>
        <v>435.26006850191163</v>
      </c>
      <c r="I14" s="88">
        <f>+'Historical Financials'!AV187</f>
        <v>51473.675719029954</v>
      </c>
      <c r="J14" s="88">
        <f>+'Historical Financials'!AW187</f>
        <v>148959.47374061254</v>
      </c>
      <c r="K14" s="88">
        <f>+'Historical Financials'!AX187</f>
        <v>189400.50392428774</v>
      </c>
      <c r="L14" s="138">
        <f t="shared" ref="L14:U14" si="16">+K14*(1+L24)</f>
        <v>189400.50392428774</v>
      </c>
      <c r="M14" s="138">
        <f t="shared" si="16"/>
        <v>189400.50392428774</v>
      </c>
      <c r="N14" s="138">
        <f t="shared" si="16"/>
        <v>189400.50392428774</v>
      </c>
      <c r="O14" s="138">
        <f t="shared" si="16"/>
        <v>189400.50392428774</v>
      </c>
      <c r="P14" s="138">
        <f t="shared" si="16"/>
        <v>189400.50392428774</v>
      </c>
      <c r="Q14" s="138">
        <f t="shared" si="16"/>
        <v>189400.50392428774</v>
      </c>
      <c r="R14" s="138">
        <f t="shared" si="16"/>
        <v>189400.50392428774</v>
      </c>
      <c r="S14" s="138">
        <f t="shared" si="16"/>
        <v>189400.50392428774</v>
      </c>
      <c r="T14" s="138">
        <f t="shared" si="16"/>
        <v>189400.50392428774</v>
      </c>
      <c r="U14" s="138">
        <f t="shared" si="16"/>
        <v>189400.50392428774</v>
      </c>
      <c r="V14" s="75"/>
      <c r="W14" s="72"/>
    </row>
    <row r="15" spans="2:23" x14ac:dyDescent="0.2">
      <c r="B15" s="90" t="s">
        <v>224</v>
      </c>
      <c r="C15" s="72"/>
      <c r="D15" s="73">
        <f>+'Historical Financials'!AQ16</f>
        <v>13119.990000000002</v>
      </c>
      <c r="E15" s="73">
        <f>+'Historical Financials'!AR16</f>
        <v>30141.885999999999</v>
      </c>
      <c r="F15" s="73">
        <f>+'Historical Financials'!AS16</f>
        <v>59491.865000000005</v>
      </c>
      <c r="G15" s="73">
        <f>+'Historical Financials'!AT16</f>
        <v>93949.938999999998</v>
      </c>
      <c r="H15" s="73">
        <f>+'Historical Financials'!AU16</f>
        <v>130557.58900000001</v>
      </c>
      <c r="I15" s="73">
        <f>+'Historical Financials'!AV16</f>
        <v>247639.20499999999</v>
      </c>
      <c r="J15" s="73">
        <f>+'Historical Financials'!AW16</f>
        <v>393096.29132498021</v>
      </c>
      <c r="K15" s="73">
        <f>+'Historical Financials'!AX16</f>
        <v>458507.05991382367</v>
      </c>
      <c r="L15" s="137">
        <f t="shared" ref="L15:T15" si="17">+IFERROR(L13+L14,"n/a")</f>
        <v>498008.75182923884</v>
      </c>
      <c r="M15" s="137">
        <f t="shared" si="17"/>
        <v>540889.82047458028</v>
      </c>
      <c r="N15" s="137">
        <f t="shared" si="17"/>
        <v>587105.86854591232</v>
      </c>
      <c r="O15" s="137">
        <f t="shared" si="17"/>
        <v>636573.20226223953</v>
      </c>
      <c r="P15" s="137">
        <f t="shared" si="17"/>
        <v>689170.034322483</v>
      </c>
      <c r="Q15" s="137">
        <f t="shared" si="17"/>
        <v>744738.52808053081</v>
      </c>
      <c r="R15" s="137">
        <f t="shared" si="17"/>
        <v>803087.58199832158</v>
      </c>
      <c r="S15" s="137">
        <f t="shared" si="17"/>
        <v>863996.23465110245</v>
      </c>
      <c r="T15" s="137">
        <f t="shared" si="17"/>
        <v>927217.55869350443</v>
      </c>
      <c r="U15" s="137">
        <f t="shared" ref="U15" si="18">+IFERROR(U13+U14,"n/a")</f>
        <v>992482.90698826441</v>
      </c>
      <c r="V15" s="75"/>
      <c r="W15" s="72"/>
    </row>
    <row r="16" spans="2:23" x14ac:dyDescent="0.2">
      <c r="B16" s="92" t="s">
        <v>85</v>
      </c>
      <c r="C16" s="72"/>
      <c r="D16" s="72"/>
      <c r="E16" s="142">
        <f>+E25</f>
        <v>1.2974015986292669</v>
      </c>
      <c r="F16" s="142">
        <f t="shared" ref="F16:U16" si="19">+F25</f>
        <v>0.97372735733921911</v>
      </c>
      <c r="G16" s="142">
        <f t="shared" si="19"/>
        <v>0.57920648478577674</v>
      </c>
      <c r="H16" s="142">
        <f t="shared" si="19"/>
        <v>0.38965059892162368</v>
      </c>
      <c r="I16" s="142">
        <f t="shared" si="19"/>
        <v>0.89678138893940496</v>
      </c>
      <c r="J16" s="142">
        <f t="shared" si="19"/>
        <v>0.58737503346846975</v>
      </c>
      <c r="K16" s="142">
        <f t="shared" si="19"/>
        <v>0.16639884433498042</v>
      </c>
      <c r="L16" s="142">
        <f t="shared" si="19"/>
        <v>8.615285427194852E-2</v>
      </c>
      <c r="M16" s="142">
        <f t="shared" si="19"/>
        <v>8.610505033864313E-2</v>
      </c>
      <c r="N16" s="142">
        <f t="shared" si="19"/>
        <v>8.5444477455282497E-2</v>
      </c>
      <c r="O16" s="142">
        <f t="shared" si="19"/>
        <v>8.4256241278669597E-2</v>
      </c>
      <c r="P16" s="142">
        <f t="shared" si="19"/>
        <v>8.262495479439913E-2</v>
      </c>
      <c r="Q16" s="142">
        <f t="shared" si="19"/>
        <v>8.0631035870090795E-2</v>
      </c>
      <c r="R16" s="142">
        <f t="shared" si="19"/>
        <v>7.8348375594556652E-2</v>
      </c>
      <c r="S16" s="142">
        <f t="shared" si="19"/>
        <v>7.5843101074009933E-2</v>
      </c>
      <c r="T16" s="142">
        <f t="shared" si="19"/>
        <v>7.317314764448235E-2</v>
      </c>
      <c r="U16" s="142">
        <f t="shared" si="19"/>
        <v>7.0388386935555936E-2</v>
      </c>
      <c r="V16" s="75"/>
      <c r="W16" s="72"/>
    </row>
    <row r="17" spans="2:28" x14ac:dyDescent="0.2">
      <c r="B17" s="92" t="s">
        <v>589</v>
      </c>
      <c r="C17" s="72"/>
      <c r="D17" s="72"/>
      <c r="E17" s="142">
        <f>+E16</f>
        <v>1.2974015986292669</v>
      </c>
      <c r="F17" s="142">
        <f t="shared" ref="F17:U17" si="20">+F16</f>
        <v>0.97372735733921911</v>
      </c>
      <c r="G17" s="142">
        <f t="shared" si="20"/>
        <v>0.57920648478577674</v>
      </c>
      <c r="H17" s="142">
        <f t="shared" si="20"/>
        <v>0.38965059892162368</v>
      </c>
      <c r="I17" s="142">
        <f t="shared" si="20"/>
        <v>0.89678138893940496</v>
      </c>
      <c r="J17" s="142">
        <f t="shared" si="20"/>
        <v>0.58737503346846975</v>
      </c>
      <c r="K17" s="142">
        <f t="shared" si="20"/>
        <v>0.16639884433498042</v>
      </c>
      <c r="L17" s="142">
        <f t="shared" si="20"/>
        <v>8.615285427194852E-2</v>
      </c>
      <c r="M17" s="142">
        <f t="shared" si="20"/>
        <v>8.610505033864313E-2</v>
      </c>
      <c r="N17" s="142">
        <f t="shared" si="20"/>
        <v>8.5444477455282497E-2</v>
      </c>
      <c r="O17" s="142">
        <f t="shared" si="20"/>
        <v>8.4256241278669597E-2</v>
      </c>
      <c r="P17" s="142">
        <f t="shared" si="20"/>
        <v>8.262495479439913E-2</v>
      </c>
      <c r="Q17" s="142">
        <f t="shared" si="20"/>
        <v>8.0631035870090795E-2</v>
      </c>
      <c r="R17" s="142">
        <f t="shared" si="20"/>
        <v>7.8348375594556652E-2</v>
      </c>
      <c r="S17" s="142">
        <f t="shared" si="20"/>
        <v>7.5843101074009933E-2</v>
      </c>
      <c r="T17" s="142">
        <f t="shared" si="20"/>
        <v>7.317314764448235E-2</v>
      </c>
      <c r="U17" s="142">
        <f t="shared" si="20"/>
        <v>7.0388386935555936E-2</v>
      </c>
      <c r="V17" s="75"/>
      <c r="W17" s="72"/>
    </row>
    <row r="18" spans="2:28" ht="10.15" x14ac:dyDescent="0.2">
      <c r="B18" s="92" t="s">
        <v>357</v>
      </c>
      <c r="C18" s="72"/>
      <c r="D18" s="73"/>
      <c r="E18" s="150">
        <f>+IFERROR(E11/(E8-E12),"n/a")</f>
        <v>4.9907089873501558E-2</v>
      </c>
      <c r="F18" s="150">
        <f t="shared" ref="F18:T18" si="21">+IFERROR(F11/(F8-F12),"n/a")</f>
        <v>5.380135311281152E-2</v>
      </c>
      <c r="G18" s="150">
        <f t="shared" si="21"/>
        <v>5.8383404340044284E-2</v>
      </c>
      <c r="H18" s="150">
        <f t="shared" si="21"/>
        <v>7.1526768015011649E-2</v>
      </c>
      <c r="I18" s="150">
        <f t="shared" si="21"/>
        <v>8.6577019032125058E-2</v>
      </c>
      <c r="J18" s="150">
        <f t="shared" si="21"/>
        <v>9.0980328618110992E-2</v>
      </c>
      <c r="K18" s="150">
        <f t="shared" ref="K18" si="22">+IFERROR(K11/(K8-K12),"n/a")</f>
        <v>8.7760071583525098E-2</v>
      </c>
      <c r="L18" s="150">
        <f t="shared" si="21"/>
        <v>8.7760071583525084E-2</v>
      </c>
      <c r="M18" s="150">
        <f t="shared" si="21"/>
        <v>8.7760071583525098E-2</v>
      </c>
      <c r="N18" s="150">
        <f t="shared" si="21"/>
        <v>8.7760071583525098E-2</v>
      </c>
      <c r="O18" s="150">
        <f t="shared" si="21"/>
        <v>8.7760071583525112E-2</v>
      </c>
      <c r="P18" s="150">
        <f t="shared" si="21"/>
        <v>8.7760071583525112E-2</v>
      </c>
      <c r="Q18" s="150">
        <f t="shared" si="21"/>
        <v>8.7760071583525098E-2</v>
      </c>
      <c r="R18" s="150">
        <f t="shared" si="21"/>
        <v>8.7760071583525112E-2</v>
      </c>
      <c r="S18" s="150">
        <f t="shared" si="21"/>
        <v>8.7760071583525098E-2</v>
      </c>
      <c r="T18" s="150">
        <f t="shared" si="21"/>
        <v>8.7760071583525098E-2</v>
      </c>
      <c r="U18" s="150">
        <f t="shared" ref="U18" si="23">+IFERROR(U11/(U8-U12),"n/a")</f>
        <v>8.7760071583525098E-2</v>
      </c>
      <c r="V18" s="75"/>
      <c r="W18" s="72"/>
    </row>
    <row r="19" spans="2:28" ht="10.15" x14ac:dyDescent="0.2">
      <c r="B19" s="90"/>
      <c r="C19" s="72"/>
      <c r="D19" s="72"/>
      <c r="E19" s="142"/>
      <c r="F19" s="142"/>
      <c r="G19" s="142"/>
      <c r="H19" s="142"/>
      <c r="I19" s="142"/>
      <c r="J19" s="142"/>
      <c r="K19" s="142"/>
      <c r="L19" s="142"/>
      <c r="M19" s="142"/>
      <c r="N19" s="142"/>
      <c r="O19" s="142"/>
      <c r="P19" s="142"/>
      <c r="Q19" s="142"/>
      <c r="R19" s="142"/>
      <c r="S19" s="142"/>
      <c r="T19" s="142"/>
      <c r="U19" s="142"/>
      <c r="V19" s="75"/>
      <c r="W19" s="72"/>
    </row>
    <row r="20" spans="2:28" ht="10.15" x14ac:dyDescent="0.2">
      <c r="B20" s="97" t="s">
        <v>85</v>
      </c>
      <c r="C20" s="72"/>
      <c r="D20" s="72"/>
      <c r="E20" s="142"/>
      <c r="F20" s="142"/>
      <c r="G20" s="142"/>
      <c r="H20" s="142"/>
      <c r="I20" s="142"/>
      <c r="J20" s="142"/>
      <c r="K20" s="142"/>
      <c r="L20" s="142"/>
      <c r="M20" s="142"/>
      <c r="N20" s="142"/>
      <c r="O20" s="142"/>
      <c r="P20" s="142"/>
      <c r="Q20" s="142"/>
      <c r="R20" s="142"/>
      <c r="S20" s="142"/>
      <c r="T20" s="142"/>
      <c r="U20" s="142"/>
      <c r="V20" s="75"/>
      <c r="W20" s="72"/>
    </row>
    <row r="21" spans="2:28" ht="10.15" x14ac:dyDescent="0.2">
      <c r="B21" s="76" t="s">
        <v>341</v>
      </c>
      <c r="C21" s="72"/>
      <c r="D21" s="72"/>
      <c r="E21" s="142">
        <f>+IFERROR(E11/D11-1,"n/a")</f>
        <v>1.2974015986292669</v>
      </c>
      <c r="F21" s="142">
        <f t="shared" ref="F21:U21" si="24">+IFERROR(F11/E11-1,"n/a")</f>
        <v>0.78294065606909946</v>
      </c>
      <c r="G21" s="142">
        <f t="shared" si="24"/>
        <v>0.6133592230942988</v>
      </c>
      <c r="H21" s="142">
        <f t="shared" si="24"/>
        <v>0.49835510687406614</v>
      </c>
      <c r="I21" s="142">
        <f t="shared" si="24"/>
        <v>0.50997429670985417</v>
      </c>
      <c r="J21" s="142">
        <f t="shared" si="24"/>
        <v>0.2445449436464846</v>
      </c>
      <c r="K21" s="142">
        <f t="shared" si="24"/>
        <v>0.10227764354526059</v>
      </c>
      <c r="L21" s="142">
        <f t="shared" si="24"/>
        <v>0.14678829272725391</v>
      </c>
      <c r="M21" s="142">
        <f t="shared" si="24"/>
        <v>0.13894984640380859</v>
      </c>
      <c r="N21" s="142">
        <f t="shared" si="24"/>
        <v>0.13148635220245519</v>
      </c>
      <c r="O21" s="142">
        <f t="shared" si="24"/>
        <v>0.12438186184234734</v>
      </c>
      <c r="P21" s="142">
        <f t="shared" si="24"/>
        <v>0.11762084817730356</v>
      </c>
      <c r="Q21" s="142">
        <f t="shared" si="24"/>
        <v>0.11118823853421622</v>
      </c>
      <c r="R21" s="142">
        <f t="shared" si="24"/>
        <v>0.10506943767526788</v>
      </c>
      <c r="S21" s="142">
        <f t="shared" si="24"/>
        <v>9.9250342444774375E-2</v>
      </c>
      <c r="T21" s="142">
        <f t="shared" si="24"/>
        <v>9.3717349758924318E-2</v>
      </c>
      <c r="U21" s="142">
        <f t="shared" si="24"/>
        <v>8.8457359277462677E-2</v>
      </c>
      <c r="V21" s="75"/>
      <c r="W21" s="72"/>
    </row>
    <row r="22" spans="2:28" ht="13.5" x14ac:dyDescent="0.35">
      <c r="B22" s="76" t="s">
        <v>342</v>
      </c>
      <c r="C22" s="72"/>
      <c r="D22" s="72"/>
      <c r="E22" s="148" t="str">
        <f>+IFERROR(E12/D12-1,"n/a")</f>
        <v>n/a</v>
      </c>
      <c r="F22" s="148" t="str">
        <f t="shared" ref="F22:K25" si="25">+IFERROR(F12/E12-1,"n/a")</f>
        <v>n/a</v>
      </c>
      <c r="G22" s="148">
        <f t="shared" si="25"/>
        <v>0.26004217594781531</v>
      </c>
      <c r="H22" s="148">
        <f t="shared" si="25"/>
        <v>-0.97113325148687124</v>
      </c>
      <c r="I22" s="148">
        <f t="shared" si="25"/>
        <v>-1</v>
      </c>
      <c r="J22" s="148" t="str">
        <f t="shared" si="25"/>
        <v>n/a</v>
      </c>
      <c r="K22" s="148" t="str">
        <f t="shared" si="25"/>
        <v>n/a</v>
      </c>
      <c r="L22" s="149">
        <v>0</v>
      </c>
      <c r="M22" s="149">
        <v>0</v>
      </c>
      <c r="N22" s="149">
        <v>0</v>
      </c>
      <c r="O22" s="149">
        <v>0</v>
      </c>
      <c r="P22" s="149">
        <v>0</v>
      </c>
      <c r="Q22" s="149">
        <v>0</v>
      </c>
      <c r="R22" s="149">
        <v>0</v>
      </c>
      <c r="S22" s="149">
        <v>0</v>
      </c>
      <c r="T22" s="149">
        <v>0</v>
      </c>
      <c r="U22" s="149">
        <v>0</v>
      </c>
      <c r="V22" s="75"/>
      <c r="W22" s="72"/>
    </row>
    <row r="23" spans="2:28" x14ac:dyDescent="0.2">
      <c r="B23" s="92" t="s">
        <v>339</v>
      </c>
      <c r="C23" s="72"/>
      <c r="D23" s="72"/>
      <c r="E23" s="142">
        <f>+IFERROR(E13/D13-1,"n/a")</f>
        <v>1.2974015986292669</v>
      </c>
      <c r="F23" s="142">
        <f t="shared" si="25"/>
        <v>0.97372735733921911</v>
      </c>
      <c r="G23" s="142">
        <f t="shared" si="25"/>
        <v>0.57920648478577674</v>
      </c>
      <c r="H23" s="142">
        <f t="shared" si="25"/>
        <v>0.38501770534942126</v>
      </c>
      <c r="I23" s="142">
        <f t="shared" si="25"/>
        <v>0.50754702049822598</v>
      </c>
      <c r="J23" s="142">
        <f t="shared" si="25"/>
        <v>0.2445449436464846</v>
      </c>
      <c r="K23" s="142">
        <f t="shared" si="25"/>
        <v>0.10227764354526059</v>
      </c>
      <c r="L23" s="78">
        <v>0.14678829272725391</v>
      </c>
      <c r="M23" s="78">
        <v>0.13894984640380859</v>
      </c>
      <c r="N23" s="78">
        <v>0.13148635220245519</v>
      </c>
      <c r="O23" s="78">
        <v>0.12438186184234734</v>
      </c>
      <c r="P23" s="78">
        <v>0.11762084817730356</v>
      </c>
      <c r="Q23" s="78">
        <v>0.11118823853421644</v>
      </c>
      <c r="R23" s="78">
        <v>0.10506943767526788</v>
      </c>
      <c r="S23" s="78">
        <v>9.9250342444774375E-2</v>
      </c>
      <c r="T23" s="78">
        <v>9.3717349758924318E-2</v>
      </c>
      <c r="U23" s="78">
        <v>8.8457359277462677E-2</v>
      </c>
      <c r="V23" s="75"/>
      <c r="W23" s="72"/>
    </row>
    <row r="24" spans="2:28" ht="13.5" x14ac:dyDescent="0.35">
      <c r="B24" s="76" t="s">
        <v>340</v>
      </c>
      <c r="C24" s="72"/>
      <c r="D24" s="72"/>
      <c r="E24" s="148" t="str">
        <f>+IFERROR(E14/D14-1,"n/a")</f>
        <v>n/a</v>
      </c>
      <c r="F24" s="148" t="str">
        <f t="shared" si="25"/>
        <v>n/a</v>
      </c>
      <c r="G24" s="148" t="str">
        <f t="shared" si="25"/>
        <v>n/a</v>
      </c>
      <c r="H24" s="148" t="str">
        <f t="shared" si="25"/>
        <v>n/a</v>
      </c>
      <c r="I24" s="148">
        <f t="shared" si="25"/>
        <v>117.25958649547904</v>
      </c>
      <c r="J24" s="148">
        <f t="shared" si="25"/>
        <v>1.8938961840166746</v>
      </c>
      <c r="K24" s="148">
        <f t="shared" si="25"/>
        <v>0.27149015210738692</v>
      </c>
      <c r="L24" s="149">
        <v>0</v>
      </c>
      <c r="M24" s="149">
        <v>0</v>
      </c>
      <c r="N24" s="149">
        <v>0</v>
      </c>
      <c r="O24" s="149">
        <v>0</v>
      </c>
      <c r="P24" s="149">
        <v>0</v>
      </c>
      <c r="Q24" s="149">
        <v>0</v>
      </c>
      <c r="R24" s="149">
        <v>0</v>
      </c>
      <c r="S24" s="149">
        <v>0</v>
      </c>
      <c r="T24" s="149">
        <v>0</v>
      </c>
      <c r="U24" s="149">
        <v>0</v>
      </c>
      <c r="V24" s="75"/>
      <c r="W24" s="72"/>
    </row>
    <row r="25" spans="2:28" ht="10.15" x14ac:dyDescent="0.2">
      <c r="B25" s="92" t="s">
        <v>224</v>
      </c>
      <c r="C25" s="72"/>
      <c r="D25" s="72"/>
      <c r="E25" s="142">
        <f>+IFERROR(E15/D15-1,"n/a")</f>
        <v>1.2974015986292669</v>
      </c>
      <c r="F25" s="142">
        <f t="shared" si="25"/>
        <v>0.97372735733921911</v>
      </c>
      <c r="G25" s="142">
        <f t="shared" si="25"/>
        <v>0.57920648478577674</v>
      </c>
      <c r="H25" s="142">
        <f t="shared" si="25"/>
        <v>0.38965059892162368</v>
      </c>
      <c r="I25" s="142">
        <f t="shared" si="25"/>
        <v>0.89678138893940496</v>
      </c>
      <c r="J25" s="142">
        <f t="shared" si="25"/>
        <v>0.58737503346846975</v>
      </c>
      <c r="K25" s="142">
        <f t="shared" si="25"/>
        <v>0.16639884433498042</v>
      </c>
      <c r="L25" s="142">
        <f t="shared" ref="L25:U25" si="26">+IFERROR(L15/K15-1,"n/a")</f>
        <v>8.615285427194852E-2</v>
      </c>
      <c r="M25" s="142">
        <f t="shared" si="26"/>
        <v>8.610505033864313E-2</v>
      </c>
      <c r="N25" s="142">
        <f t="shared" si="26"/>
        <v>8.5444477455282497E-2</v>
      </c>
      <c r="O25" s="142">
        <f t="shared" si="26"/>
        <v>8.4256241278669597E-2</v>
      </c>
      <c r="P25" s="142">
        <f t="shared" si="26"/>
        <v>8.262495479439913E-2</v>
      </c>
      <c r="Q25" s="142">
        <f t="shared" si="26"/>
        <v>8.0631035870090795E-2</v>
      </c>
      <c r="R25" s="142">
        <f t="shared" si="26"/>
        <v>7.8348375594556652E-2</v>
      </c>
      <c r="S25" s="142">
        <f t="shared" si="26"/>
        <v>7.5843101074009933E-2</v>
      </c>
      <c r="T25" s="142">
        <f t="shared" si="26"/>
        <v>7.317314764448235E-2</v>
      </c>
      <c r="U25" s="142">
        <f t="shared" si="26"/>
        <v>7.0388386935555936E-2</v>
      </c>
      <c r="V25" s="75"/>
      <c r="W25" s="72"/>
    </row>
    <row r="26" spans="2:28" s="81" customFormat="1" ht="10.15" x14ac:dyDescent="0.2">
      <c r="B26" s="76"/>
      <c r="C26" s="79"/>
      <c r="D26" s="79"/>
      <c r="E26" s="80"/>
      <c r="F26" s="80"/>
      <c r="G26" s="80"/>
      <c r="H26" s="80"/>
      <c r="I26" s="80"/>
      <c r="J26" s="80"/>
      <c r="K26" s="80"/>
      <c r="L26" s="80"/>
      <c r="M26" s="80"/>
      <c r="N26" s="80"/>
      <c r="O26" s="80"/>
      <c r="P26" s="80"/>
      <c r="Q26" s="80"/>
      <c r="R26" s="80"/>
      <c r="S26" s="80"/>
      <c r="T26" s="80"/>
      <c r="U26" s="80"/>
    </row>
    <row r="27" spans="2:28" s="81" customFormat="1" ht="10.15" x14ac:dyDescent="0.2">
      <c r="B27" s="61" t="s">
        <v>277</v>
      </c>
      <c r="C27" s="79"/>
      <c r="D27" s="79"/>
      <c r="E27" s="74">
        <f t="shared" ref="E27:U27" si="27">+E15-E33</f>
        <v>35484.559999999998</v>
      </c>
      <c r="F27" s="74">
        <f t="shared" si="27"/>
        <v>64607.624000000003</v>
      </c>
      <c r="G27" s="74">
        <f t="shared" si="27"/>
        <v>80783.066999999995</v>
      </c>
      <c r="H27" s="74">
        <f t="shared" si="27"/>
        <v>90213.133999999991</v>
      </c>
      <c r="I27" s="74">
        <f t="shared" si="27"/>
        <v>181075.41399999999</v>
      </c>
      <c r="J27" s="74">
        <f t="shared" si="27"/>
        <v>276225.50336545805</v>
      </c>
      <c r="K27" s="74">
        <f t="shared" si="27"/>
        <v>352440.54191067681</v>
      </c>
      <c r="L27" s="74">
        <f t="shared" si="27"/>
        <v>369492.18097652198</v>
      </c>
      <c r="M27" s="74">
        <f t="shared" si="27"/>
        <v>394515.89184153418</v>
      </c>
      <c r="N27" s="74">
        <f t="shared" si="27"/>
        <v>421485.76597936451</v>
      </c>
      <c r="O27" s="74">
        <f t="shared" si="27"/>
        <v>450352.96297994407</v>
      </c>
      <c r="P27" s="74">
        <f t="shared" si="27"/>
        <v>481046.41254802345</v>
      </c>
      <c r="Q27" s="74">
        <f t="shared" si="27"/>
        <v>513474.0074036076</v>
      </c>
      <c r="R27" s="74">
        <f t="shared" si="27"/>
        <v>547524.22817963373</v>
      </c>
      <c r="S27" s="74">
        <f t="shared" si="27"/>
        <v>583068.13044957479</v>
      </c>
      <c r="T27" s="74">
        <f t="shared" si="27"/>
        <v>619961.61709341058</v>
      </c>
      <c r="U27" s="74">
        <f t="shared" si="27"/>
        <v>658047.91617191606</v>
      </c>
    </row>
    <row r="28" spans="2:28" s="81" customFormat="1" ht="10.15" x14ac:dyDescent="0.2">
      <c r="B28" s="82" t="s">
        <v>85</v>
      </c>
      <c r="C28" s="79"/>
      <c r="D28" s="79"/>
      <c r="E28" s="83"/>
      <c r="F28" s="83">
        <f t="shared" ref="F28:U28" si="28">F27/E27-1</f>
        <v>0.8207249575590061</v>
      </c>
      <c r="G28" s="83">
        <f t="shared" si="28"/>
        <v>0.25036430685022548</v>
      </c>
      <c r="H28" s="83">
        <f t="shared" si="28"/>
        <v>0.11673321340968634</v>
      </c>
      <c r="I28" s="83">
        <f t="shared" si="28"/>
        <v>1.0071956928134211</v>
      </c>
      <c r="J28" s="83">
        <f t="shared" si="28"/>
        <v>0.52547216247401796</v>
      </c>
      <c r="K28" s="83">
        <f t="shared" si="28"/>
        <v>0.27591600926284876</v>
      </c>
      <c r="L28" s="83">
        <f t="shared" si="28"/>
        <v>4.8381604946478474E-2</v>
      </c>
      <c r="M28" s="83">
        <f t="shared" si="28"/>
        <v>6.7724601908699666E-2</v>
      </c>
      <c r="N28" s="83">
        <f t="shared" si="28"/>
        <v>6.8361946110559568E-2</v>
      </c>
      <c r="O28" s="83">
        <f t="shared" si="28"/>
        <v>6.8489138496774071E-2</v>
      </c>
      <c r="P28" s="83">
        <f t="shared" si="28"/>
        <v>6.8154208123742954E-2</v>
      </c>
      <c r="Q28" s="83">
        <f t="shared" si="28"/>
        <v>6.7410532559260883E-2</v>
      </c>
      <c r="R28" s="83">
        <f t="shared" si="28"/>
        <v>6.6313426356675365E-2</v>
      </c>
      <c r="S28" s="83">
        <f t="shared" si="28"/>
        <v>6.4917496688894794E-2</v>
      </c>
      <c r="T28" s="83">
        <f t="shared" si="28"/>
        <v>6.3274743922959731E-2</v>
      </c>
      <c r="U28" s="83">
        <f t="shared" si="28"/>
        <v>6.1433317851300018E-2</v>
      </c>
      <c r="AB28" s="144"/>
    </row>
    <row r="29" spans="2:28" s="81" customFormat="1" ht="10.15" x14ac:dyDescent="0.2">
      <c r="B29" s="82" t="s">
        <v>94</v>
      </c>
      <c r="C29" s="79"/>
      <c r="D29" s="79"/>
      <c r="E29" s="80">
        <f t="shared" ref="E29:U29" si="29">+IFERROR(E27/E15,"n/a")</f>
        <v>1.1772508196733276</v>
      </c>
      <c r="F29" s="80">
        <f t="shared" si="29"/>
        <v>1.0859908997641947</v>
      </c>
      <c r="G29" s="80">
        <f t="shared" si="29"/>
        <v>0.8598522559977394</v>
      </c>
      <c r="H29" s="80">
        <f t="shared" si="29"/>
        <v>0.69098345558449292</v>
      </c>
      <c r="I29" s="80">
        <f t="shared" si="29"/>
        <v>0.73120657126968247</v>
      </c>
      <c r="J29" s="80">
        <f t="shared" si="29"/>
        <v>0.70269170547095583</v>
      </c>
      <c r="K29" s="80">
        <f t="shared" si="29"/>
        <v>0.76866982588429056</v>
      </c>
      <c r="L29" s="80">
        <f t="shared" si="29"/>
        <v>0.74193913183119398</v>
      </c>
      <c r="M29" s="80">
        <f t="shared" si="29"/>
        <v>0.72938309597947937</v>
      </c>
      <c r="N29" s="80">
        <f t="shared" si="29"/>
        <v>0.71790419507006487</v>
      </c>
      <c r="O29" s="80">
        <f t="shared" si="29"/>
        <v>0.70746453256198949</v>
      </c>
      <c r="P29" s="80">
        <f t="shared" si="29"/>
        <v>0.69800831230414129</v>
      </c>
      <c r="Q29" s="80">
        <f t="shared" si="29"/>
        <v>0.68946883777722867</v>
      </c>
      <c r="R29" s="80">
        <f t="shared" si="29"/>
        <v>0.68177399383667481</v>
      </c>
      <c r="S29" s="80">
        <f t="shared" si="29"/>
        <v>0.67485031423201558</v>
      </c>
      <c r="T29" s="80">
        <f t="shared" si="29"/>
        <v>0.66862583789608909</v>
      </c>
      <c r="U29" s="80">
        <f t="shared" si="29"/>
        <v>0.66303198930527996</v>
      </c>
      <c r="AB29" s="144"/>
    </row>
    <row r="30" spans="2:28" s="81" customFormat="1" ht="10.15" x14ac:dyDescent="0.2">
      <c r="B30" s="82"/>
      <c r="C30" s="79"/>
      <c r="D30" s="79"/>
      <c r="E30" s="80"/>
      <c r="F30" s="80"/>
      <c r="G30" s="80"/>
      <c r="H30" s="80"/>
      <c r="I30" s="80"/>
      <c r="J30" s="80"/>
      <c r="K30" s="80"/>
      <c r="L30" s="80"/>
      <c r="M30" s="80"/>
      <c r="N30" s="80"/>
      <c r="O30" s="80"/>
      <c r="P30" s="80"/>
      <c r="Q30" s="80"/>
      <c r="R30" s="80"/>
      <c r="S30" s="80"/>
      <c r="T30" s="80"/>
      <c r="U30" s="80"/>
    </row>
    <row r="31" spans="2:28" s="81" customFormat="1" ht="10.15" x14ac:dyDescent="0.2">
      <c r="B31" s="135" t="s">
        <v>343</v>
      </c>
      <c r="C31" s="79"/>
      <c r="D31" s="79"/>
      <c r="E31" s="74">
        <f>+IFERROR(E33-E32,"n/a")</f>
        <v>-5342.6740000000009</v>
      </c>
      <c r="F31" s="74">
        <f t="shared" ref="F31:I31" si="30">+IFERROR(F33-F32,"n/a")</f>
        <v>-5115.7589999999991</v>
      </c>
      <c r="G31" s="74">
        <f t="shared" si="30"/>
        <v>13166.871999999999</v>
      </c>
      <c r="H31" s="74">
        <f t="shared" si="30"/>
        <v>44124.173158625199</v>
      </c>
      <c r="I31" s="74">
        <f t="shared" si="30"/>
        <v>88650.497566904902</v>
      </c>
      <c r="J31" s="74">
        <f t="shared" ref="J31:K31" si="31">+IFERROR(J33-J32,"n/a")</f>
        <v>113044.80843975254</v>
      </c>
      <c r="K31" s="74">
        <f t="shared" si="31"/>
        <v>112066.51800314685</v>
      </c>
      <c r="L31" s="74">
        <f t="shared" ref="L31:U31" si="32">+L46*L8</f>
        <v>128516.57085271688</v>
      </c>
      <c r="M31" s="74">
        <f t="shared" si="32"/>
        <v>146373.92863304607</v>
      </c>
      <c r="N31" s="74">
        <f t="shared" si="32"/>
        <v>165620.10256654781</v>
      </c>
      <c r="O31" s="74">
        <f t="shared" si="32"/>
        <v>186220.23928229549</v>
      </c>
      <c r="P31" s="74">
        <f t="shared" si="32"/>
        <v>208123.62177445955</v>
      </c>
      <c r="Q31" s="74">
        <f t="shared" si="32"/>
        <v>231264.52067692319</v>
      </c>
      <c r="R31" s="74">
        <f t="shared" si="32"/>
        <v>255563.35381868784</v>
      </c>
      <c r="S31" s="74">
        <f t="shared" si="32"/>
        <v>280928.10420152766</v>
      </c>
      <c r="T31" s="74">
        <f t="shared" si="32"/>
        <v>307255.94160009379</v>
      </c>
      <c r="U31" s="74">
        <f t="shared" si="32"/>
        <v>334434.99081634835</v>
      </c>
    </row>
    <row r="32" spans="2:28" s="81" customFormat="1" ht="13.5" x14ac:dyDescent="0.35">
      <c r="B32" s="135" t="s">
        <v>325</v>
      </c>
      <c r="C32" s="79"/>
      <c r="D32" s="79"/>
      <c r="E32" s="88">
        <f>+'Historical Financials'!AR483</f>
        <v>0</v>
      </c>
      <c r="F32" s="88">
        <f>+'Historical Financials'!AS483</f>
        <v>0</v>
      </c>
      <c r="G32" s="88">
        <f>+'Historical Financials'!AT483</f>
        <v>0</v>
      </c>
      <c r="H32" s="88">
        <f>+'Historical Financials'!AU483</f>
        <v>-3779.7181586251809</v>
      </c>
      <c r="I32" s="88">
        <f>+'Historical Financials'!AV483</f>
        <v>-22086.706566904904</v>
      </c>
      <c r="J32" s="88">
        <f>+'Historical Financials'!AW483</f>
        <v>3825.9795197696203</v>
      </c>
      <c r="K32" s="88">
        <f>+'Historical Financials'!AX483</f>
        <v>-6000</v>
      </c>
      <c r="L32" s="101">
        <f t="shared" ref="L32:U32" si="33">+L42*L14</f>
        <v>0</v>
      </c>
      <c r="M32" s="101">
        <f t="shared" si="33"/>
        <v>0</v>
      </c>
      <c r="N32" s="101">
        <f t="shared" si="33"/>
        <v>0</v>
      </c>
      <c r="O32" s="101">
        <f t="shared" si="33"/>
        <v>0</v>
      </c>
      <c r="P32" s="101">
        <f t="shared" si="33"/>
        <v>0</v>
      </c>
      <c r="Q32" s="101">
        <f t="shared" si="33"/>
        <v>0</v>
      </c>
      <c r="R32" s="101">
        <f t="shared" si="33"/>
        <v>0</v>
      </c>
      <c r="S32" s="101">
        <f t="shared" si="33"/>
        <v>0</v>
      </c>
      <c r="T32" s="101">
        <f t="shared" si="33"/>
        <v>0</v>
      </c>
      <c r="U32" s="101">
        <f t="shared" si="33"/>
        <v>0</v>
      </c>
    </row>
    <row r="33" spans="2:22" x14ac:dyDescent="0.2">
      <c r="B33" s="90" t="s">
        <v>278</v>
      </c>
      <c r="C33" s="72"/>
      <c r="D33" s="72"/>
      <c r="E33" s="73">
        <f>+'Historical Financials'!AR61+'Historical Financials'!AR92</f>
        <v>-5342.6740000000009</v>
      </c>
      <c r="F33" s="73">
        <f>+'Historical Financials'!AS61+'Historical Financials'!AS92</f>
        <v>-5115.7589999999991</v>
      </c>
      <c r="G33" s="73">
        <f>+'Historical Financials'!AT61+'Historical Financials'!AT92</f>
        <v>13166.871999999999</v>
      </c>
      <c r="H33" s="73">
        <f>+'Historical Financials'!AU61+'Historical Financials'!AU92</f>
        <v>40344.455000000016</v>
      </c>
      <c r="I33" s="73">
        <f>+'Historical Financials'!AV61+'Historical Financials'!AV92</f>
        <v>66563.790999999997</v>
      </c>
      <c r="J33" s="73">
        <f>+'Historical Financials'!AW61+'Historical Financials'!AW92</f>
        <v>116870.78795952216</v>
      </c>
      <c r="K33" s="73">
        <f>+'Historical Financials'!AX61+'Historical Financials'!AX92</f>
        <v>106066.51800314685</v>
      </c>
      <c r="L33" s="72">
        <f t="shared" ref="L33:T33" si="34">SUM(L31:L32)</f>
        <v>128516.57085271688</v>
      </c>
      <c r="M33" s="72">
        <f t="shared" si="34"/>
        <v>146373.92863304607</v>
      </c>
      <c r="N33" s="72">
        <f t="shared" si="34"/>
        <v>165620.10256654781</v>
      </c>
      <c r="O33" s="72">
        <f t="shared" si="34"/>
        <v>186220.23928229549</v>
      </c>
      <c r="P33" s="72">
        <f t="shared" si="34"/>
        <v>208123.62177445955</v>
      </c>
      <c r="Q33" s="72">
        <f t="shared" si="34"/>
        <v>231264.52067692319</v>
      </c>
      <c r="R33" s="72">
        <f t="shared" si="34"/>
        <v>255563.35381868784</v>
      </c>
      <c r="S33" s="72">
        <f t="shared" si="34"/>
        <v>280928.10420152766</v>
      </c>
      <c r="T33" s="72">
        <f t="shared" si="34"/>
        <v>307255.94160009379</v>
      </c>
      <c r="U33" s="72">
        <f t="shared" ref="U33" si="35">SUM(U31:U32)</f>
        <v>334434.99081634835</v>
      </c>
      <c r="V33" s="75"/>
    </row>
    <row r="34" spans="2:22" x14ac:dyDescent="0.2">
      <c r="C34" s="72"/>
      <c r="D34" s="72"/>
      <c r="E34" s="73"/>
      <c r="F34" s="73"/>
      <c r="G34" s="143"/>
      <c r="H34" s="143"/>
      <c r="I34" s="143"/>
      <c r="J34" s="143"/>
      <c r="K34" s="143"/>
      <c r="L34" s="143"/>
      <c r="M34" s="143"/>
      <c r="N34" s="143"/>
      <c r="O34" s="143"/>
      <c r="P34" s="143"/>
      <c r="Q34" s="143"/>
      <c r="R34" s="143"/>
      <c r="S34" s="143"/>
      <c r="T34" s="143"/>
      <c r="U34" s="143"/>
      <c r="V34" s="75"/>
    </row>
    <row r="35" spans="2:22" ht="10.15" x14ac:dyDescent="0.2">
      <c r="B35" s="97" t="s">
        <v>85</v>
      </c>
      <c r="C35" s="72"/>
      <c r="D35" s="72"/>
      <c r="E35" s="73"/>
      <c r="F35" s="73"/>
      <c r="G35" s="73"/>
      <c r="H35" s="73"/>
      <c r="I35" s="73"/>
      <c r="J35" s="72"/>
      <c r="K35" s="72"/>
      <c r="L35" s="72"/>
      <c r="M35" s="72"/>
      <c r="N35" s="72"/>
      <c r="O35" s="72"/>
      <c r="P35" s="72"/>
      <c r="Q35" s="72"/>
      <c r="R35" s="72"/>
      <c r="S35" s="72"/>
      <c r="T35" s="72"/>
      <c r="U35" s="72"/>
      <c r="V35" s="75"/>
    </row>
    <row r="36" spans="2:22" ht="10.15" x14ac:dyDescent="0.2">
      <c r="B36" s="82" t="s">
        <v>343</v>
      </c>
      <c r="C36" s="72"/>
      <c r="D36" s="72"/>
      <c r="E36" s="73"/>
      <c r="F36" s="142">
        <f>+IFERROR(F31/E31-1,"n/a")</f>
        <v>-4.2472177789623977E-2</v>
      </c>
      <c r="G36" s="142">
        <f t="shared" ref="G36:K36" si="36">+IFERROR(G31/F31-1,"n/a")</f>
        <v>-3.5737866072268067</v>
      </c>
      <c r="H36" s="142">
        <f t="shared" si="36"/>
        <v>2.3511507637216496</v>
      </c>
      <c r="I36" s="142">
        <f t="shared" si="36"/>
        <v>1.009114080125848</v>
      </c>
      <c r="J36" s="142">
        <f t="shared" si="36"/>
        <v>0.27517398708830876</v>
      </c>
      <c r="K36" s="142">
        <f t="shared" si="36"/>
        <v>-8.6540058770330219E-3</v>
      </c>
      <c r="L36" s="142">
        <f t="shared" ref="L36:U36" si="37">+IFERROR(L31/K31-1,"n/a")</f>
        <v>0.14678829272725435</v>
      </c>
      <c r="M36" s="142">
        <f t="shared" si="37"/>
        <v>0.13894984640380859</v>
      </c>
      <c r="N36" s="142">
        <f t="shared" si="37"/>
        <v>0.13148635220245519</v>
      </c>
      <c r="O36" s="142">
        <f t="shared" si="37"/>
        <v>0.1243818618423469</v>
      </c>
      <c r="P36" s="142">
        <f t="shared" si="37"/>
        <v>0.11762084817730378</v>
      </c>
      <c r="Q36" s="142">
        <f t="shared" si="37"/>
        <v>0.11118823853421644</v>
      </c>
      <c r="R36" s="142">
        <f t="shared" si="37"/>
        <v>0.10506943767526766</v>
      </c>
      <c r="S36" s="142">
        <f t="shared" si="37"/>
        <v>9.9250342444774375E-2</v>
      </c>
      <c r="T36" s="142">
        <f t="shared" si="37"/>
        <v>9.3717349758924318E-2</v>
      </c>
      <c r="U36" s="142">
        <f t="shared" si="37"/>
        <v>8.8457359277462677E-2</v>
      </c>
      <c r="V36" s="75"/>
    </row>
    <row r="37" spans="2:22" ht="12" x14ac:dyDescent="0.35">
      <c r="B37" s="82" t="s">
        <v>325</v>
      </c>
      <c r="C37" s="72"/>
      <c r="D37" s="72"/>
      <c r="E37" s="73"/>
      <c r="F37" s="148" t="str">
        <f t="shared" ref="F37:K37" si="38">+IFERROR(F32/E32-1,"n/a")</f>
        <v>n/a</v>
      </c>
      <c r="G37" s="148" t="str">
        <f t="shared" si="38"/>
        <v>n/a</v>
      </c>
      <c r="H37" s="148" t="str">
        <f t="shared" si="38"/>
        <v>n/a</v>
      </c>
      <c r="I37" s="148">
        <f t="shared" si="38"/>
        <v>4.8434797622420165</v>
      </c>
      <c r="J37" s="148">
        <f t="shared" si="38"/>
        <v>-1.1732254425611166</v>
      </c>
      <c r="K37" s="148">
        <f t="shared" si="38"/>
        <v>-2.5682258540582277</v>
      </c>
      <c r="L37" s="148">
        <f t="shared" ref="L37:U37" si="39">+IFERROR(L32/K32-1,"n/a")</f>
        <v>-1</v>
      </c>
      <c r="M37" s="148" t="str">
        <f t="shared" si="39"/>
        <v>n/a</v>
      </c>
      <c r="N37" s="148" t="str">
        <f t="shared" si="39"/>
        <v>n/a</v>
      </c>
      <c r="O37" s="148" t="str">
        <f t="shared" si="39"/>
        <v>n/a</v>
      </c>
      <c r="P37" s="148" t="str">
        <f t="shared" si="39"/>
        <v>n/a</v>
      </c>
      <c r="Q37" s="148" t="str">
        <f t="shared" si="39"/>
        <v>n/a</v>
      </c>
      <c r="R37" s="148" t="str">
        <f t="shared" si="39"/>
        <v>n/a</v>
      </c>
      <c r="S37" s="148" t="str">
        <f t="shared" si="39"/>
        <v>n/a</v>
      </c>
      <c r="T37" s="148" t="str">
        <f t="shared" si="39"/>
        <v>n/a</v>
      </c>
      <c r="U37" s="148" t="str">
        <f t="shared" si="39"/>
        <v>n/a</v>
      </c>
      <c r="V37" s="75"/>
    </row>
    <row r="38" spans="2:22" ht="10.15" x14ac:dyDescent="0.2">
      <c r="B38" s="92" t="s">
        <v>278</v>
      </c>
      <c r="C38" s="72"/>
      <c r="D38" s="72"/>
      <c r="E38" s="73"/>
      <c r="F38" s="142">
        <f t="shared" ref="F38:K38" si="40">+IFERROR(F33/E33-1,"n/a")</f>
        <v>-4.2472177789623977E-2</v>
      </c>
      <c r="G38" s="142">
        <f t="shared" si="40"/>
        <v>-3.5737866072268067</v>
      </c>
      <c r="H38" s="142">
        <f t="shared" si="40"/>
        <v>2.0640880385257803</v>
      </c>
      <c r="I38" s="142">
        <f t="shared" si="40"/>
        <v>0.64988697951180585</v>
      </c>
      <c r="J38" s="142">
        <f t="shared" si="40"/>
        <v>0.7557712114011379</v>
      </c>
      <c r="K38" s="142">
        <f t="shared" si="40"/>
        <v>-9.2446283156038422E-2</v>
      </c>
      <c r="L38" s="142">
        <f t="shared" ref="L38:U38" si="41">+IFERROR(L33/K33-1,"n/a")</f>
        <v>0.21166012868362438</v>
      </c>
      <c r="M38" s="142">
        <f t="shared" si="41"/>
        <v>0.13894984640380859</v>
      </c>
      <c r="N38" s="142">
        <f t="shared" si="41"/>
        <v>0.13148635220245519</v>
      </c>
      <c r="O38" s="142">
        <f t="shared" si="41"/>
        <v>0.1243818618423469</v>
      </c>
      <c r="P38" s="142">
        <f t="shared" si="41"/>
        <v>0.11762084817730378</v>
      </c>
      <c r="Q38" s="142">
        <f t="shared" si="41"/>
        <v>0.11118823853421644</v>
      </c>
      <c r="R38" s="142">
        <f t="shared" si="41"/>
        <v>0.10506943767526766</v>
      </c>
      <c r="S38" s="142">
        <f t="shared" si="41"/>
        <v>9.9250342444774375E-2</v>
      </c>
      <c r="T38" s="142">
        <f t="shared" si="41"/>
        <v>9.3717349758924318E-2</v>
      </c>
      <c r="U38" s="142">
        <f t="shared" si="41"/>
        <v>8.8457359277462677E-2</v>
      </c>
      <c r="V38" s="75"/>
    </row>
    <row r="39" spans="2:22" ht="10.15" x14ac:dyDescent="0.2">
      <c r="B39" s="92"/>
      <c r="C39" s="72"/>
      <c r="D39" s="72"/>
      <c r="E39" s="73"/>
      <c r="F39" s="73"/>
      <c r="G39" s="73"/>
      <c r="H39" s="73"/>
      <c r="I39" s="73"/>
      <c r="J39" s="72"/>
      <c r="K39" s="72"/>
      <c r="L39" s="72"/>
      <c r="M39" s="72"/>
      <c r="N39" s="72"/>
      <c r="O39" s="72"/>
      <c r="P39" s="72"/>
      <c r="Q39" s="72"/>
      <c r="R39" s="72"/>
      <c r="S39" s="72"/>
      <c r="T39" s="72"/>
      <c r="U39" s="72"/>
      <c r="V39" s="75"/>
    </row>
    <row r="40" spans="2:22" ht="10.15" x14ac:dyDescent="0.2">
      <c r="B40" s="97" t="s">
        <v>87</v>
      </c>
      <c r="C40" s="72"/>
      <c r="D40" s="72"/>
      <c r="E40" s="73"/>
      <c r="F40" s="73"/>
      <c r="G40" s="73"/>
      <c r="H40" s="73"/>
      <c r="I40" s="73"/>
      <c r="J40" s="72"/>
      <c r="K40" s="72"/>
      <c r="L40" s="72"/>
      <c r="M40" s="72"/>
      <c r="N40" s="72"/>
      <c r="O40" s="72"/>
      <c r="P40" s="72"/>
      <c r="Q40" s="72"/>
      <c r="R40" s="72"/>
      <c r="S40" s="72"/>
      <c r="T40" s="72"/>
      <c r="U40" s="72"/>
      <c r="V40" s="75"/>
    </row>
    <row r="41" spans="2:22" ht="10.15" x14ac:dyDescent="0.2">
      <c r="B41" s="82" t="s">
        <v>343</v>
      </c>
      <c r="C41" s="72"/>
      <c r="D41" s="72"/>
      <c r="E41" s="150">
        <f t="shared" ref="E41:U41" si="42">IFERROR(E31/E13,"n/a")</f>
        <v>-0.1772508196733277</v>
      </c>
      <c r="F41" s="150">
        <f t="shared" si="42"/>
        <v>-8.5990899764194634E-2</v>
      </c>
      <c r="G41" s="150">
        <f t="shared" si="42"/>
        <v>0.1401477440022606</v>
      </c>
      <c r="H41" s="150">
        <f t="shared" si="42"/>
        <v>0.33909762852349523</v>
      </c>
      <c r="I41" s="150">
        <f t="shared" si="42"/>
        <v>0.45191679645168353</v>
      </c>
      <c r="J41" s="150">
        <f t="shared" si="42"/>
        <v>0.46303875653940246</v>
      </c>
      <c r="K41" s="150">
        <f t="shared" si="42"/>
        <v>0.41643919670059804</v>
      </c>
      <c r="L41" s="150">
        <f t="shared" si="42"/>
        <v>0.41643919670059809</v>
      </c>
      <c r="M41" s="150">
        <f t="shared" si="42"/>
        <v>0.41643919670059815</v>
      </c>
      <c r="N41" s="150">
        <f t="shared" si="42"/>
        <v>0.41643919670059809</v>
      </c>
      <c r="O41" s="150">
        <f t="shared" si="42"/>
        <v>0.41643919670059798</v>
      </c>
      <c r="P41" s="150">
        <f t="shared" si="42"/>
        <v>0.41643919670059804</v>
      </c>
      <c r="Q41" s="150">
        <f t="shared" si="42"/>
        <v>0.41643919670059804</v>
      </c>
      <c r="R41" s="150">
        <f t="shared" si="42"/>
        <v>0.41643919670059804</v>
      </c>
      <c r="S41" s="150">
        <f t="shared" si="42"/>
        <v>0.41643919670059804</v>
      </c>
      <c r="T41" s="150">
        <f t="shared" si="42"/>
        <v>0.41643919670059809</v>
      </c>
      <c r="U41" s="150">
        <f t="shared" si="42"/>
        <v>0.41643919670059804</v>
      </c>
      <c r="V41" s="75"/>
    </row>
    <row r="42" spans="2:22" ht="13.5" x14ac:dyDescent="0.35">
      <c r="B42" s="82" t="s">
        <v>325</v>
      </c>
      <c r="C42" s="72"/>
      <c r="D42" s="72"/>
      <c r="E42" s="151" t="str">
        <f t="shared" ref="E42:K43" si="43">IFERROR(E32/E14,"n/a")</f>
        <v>n/a</v>
      </c>
      <c r="F42" s="151" t="str">
        <f t="shared" si="43"/>
        <v>n/a</v>
      </c>
      <c r="G42" s="151" t="str">
        <f t="shared" si="43"/>
        <v>n/a</v>
      </c>
      <c r="H42" s="151">
        <f t="shared" si="43"/>
        <v>-8.6838155671718376</v>
      </c>
      <c r="I42" s="151">
        <f t="shared" si="43"/>
        <v>-0.4290874171773863</v>
      </c>
      <c r="J42" s="151">
        <f t="shared" si="43"/>
        <v>2.5684700836362442E-2</v>
      </c>
      <c r="K42" s="151">
        <f t="shared" si="43"/>
        <v>-3.1678901986440758E-2</v>
      </c>
      <c r="L42" s="152">
        <v>0</v>
      </c>
      <c r="M42" s="152">
        <v>0</v>
      </c>
      <c r="N42" s="152">
        <v>0</v>
      </c>
      <c r="O42" s="152">
        <v>0</v>
      </c>
      <c r="P42" s="152">
        <v>0</v>
      </c>
      <c r="Q42" s="152">
        <v>0</v>
      </c>
      <c r="R42" s="152">
        <v>0</v>
      </c>
      <c r="S42" s="152">
        <v>0</v>
      </c>
      <c r="T42" s="152">
        <v>0</v>
      </c>
      <c r="U42" s="152">
        <v>0</v>
      </c>
      <c r="V42" s="75"/>
    </row>
    <row r="43" spans="2:22" ht="10.15" x14ac:dyDescent="0.2">
      <c r="B43" s="92" t="s">
        <v>278</v>
      </c>
      <c r="C43" s="72"/>
      <c r="D43" s="72"/>
      <c r="E43" s="150">
        <f t="shared" si="43"/>
        <v>-0.1772508196733277</v>
      </c>
      <c r="F43" s="150">
        <f t="shared" si="43"/>
        <v>-8.5990899764194634E-2</v>
      </c>
      <c r="G43" s="150">
        <f t="shared" si="43"/>
        <v>0.1401477440022606</v>
      </c>
      <c r="H43" s="150">
        <f t="shared" si="43"/>
        <v>0.30901654441550702</v>
      </c>
      <c r="I43" s="150">
        <f t="shared" si="43"/>
        <v>0.26879342873031759</v>
      </c>
      <c r="J43" s="150">
        <f t="shared" si="43"/>
        <v>0.29730829452904417</v>
      </c>
      <c r="K43" s="150">
        <f t="shared" si="43"/>
        <v>0.23133017411570944</v>
      </c>
      <c r="L43" s="150">
        <f t="shared" ref="L43:U43" si="44">IFERROR(L33/L15,"n/a")</f>
        <v>0.25806086816880608</v>
      </c>
      <c r="M43" s="150">
        <f t="shared" si="44"/>
        <v>0.27061690402052052</v>
      </c>
      <c r="N43" s="150">
        <f t="shared" si="44"/>
        <v>0.28209580492993513</v>
      </c>
      <c r="O43" s="150">
        <f t="shared" si="44"/>
        <v>0.29253546743801057</v>
      </c>
      <c r="P43" s="150">
        <f t="shared" si="44"/>
        <v>0.30199168769585877</v>
      </c>
      <c r="Q43" s="150">
        <f t="shared" si="44"/>
        <v>0.31053116222277122</v>
      </c>
      <c r="R43" s="150">
        <f t="shared" si="44"/>
        <v>0.31822600616332525</v>
      </c>
      <c r="S43" s="150">
        <f t="shared" si="44"/>
        <v>0.32514968576798436</v>
      </c>
      <c r="T43" s="150">
        <f t="shared" si="44"/>
        <v>0.33137416210391085</v>
      </c>
      <c r="U43" s="150">
        <f t="shared" si="44"/>
        <v>0.3369680106947201</v>
      </c>
      <c r="V43" s="75"/>
    </row>
    <row r="44" spans="2:22" ht="10.15" x14ac:dyDescent="0.2">
      <c r="B44" s="92"/>
      <c r="C44" s="72"/>
      <c r="D44" s="72"/>
      <c r="E44" s="150"/>
      <c r="F44" s="150"/>
      <c r="G44" s="150"/>
      <c r="H44" s="150"/>
      <c r="I44" s="150"/>
      <c r="J44" s="150"/>
      <c r="K44" s="150"/>
      <c r="L44" s="150"/>
      <c r="M44" s="150"/>
      <c r="N44" s="150"/>
      <c r="O44" s="150"/>
      <c r="P44" s="150"/>
      <c r="Q44" s="150"/>
      <c r="R44" s="150"/>
      <c r="S44" s="150"/>
      <c r="T44" s="150"/>
      <c r="U44" s="150"/>
      <c r="V44" s="75"/>
    </row>
    <row r="45" spans="2:22" ht="10.15" x14ac:dyDescent="0.2">
      <c r="B45" s="97" t="s">
        <v>359</v>
      </c>
      <c r="C45" s="72"/>
      <c r="D45" s="72"/>
      <c r="E45" s="150"/>
      <c r="F45" s="150"/>
      <c r="G45" s="150"/>
      <c r="H45" s="150"/>
      <c r="I45" s="150"/>
      <c r="J45" s="150"/>
      <c r="K45" s="150"/>
      <c r="L45" s="150"/>
      <c r="M45" s="150"/>
      <c r="N45" s="150"/>
      <c r="O45" s="150"/>
      <c r="P45" s="150"/>
      <c r="Q45" s="150"/>
      <c r="R45" s="150"/>
      <c r="S45" s="150"/>
      <c r="T45" s="150"/>
      <c r="U45" s="150"/>
      <c r="V45" s="75"/>
    </row>
    <row r="46" spans="2:22" x14ac:dyDescent="0.2">
      <c r="B46" s="82" t="s">
        <v>343</v>
      </c>
      <c r="C46" s="72"/>
      <c r="D46" s="72"/>
      <c r="E46" s="150">
        <f t="shared" ref="E46:K46" si="45">+IFERROR(E31/E8,"n/a")</f>
        <v>-8.8460725875885837E-3</v>
      </c>
      <c r="F46" s="150">
        <f t="shared" si="45"/>
        <v>-5.0921695246769344E-3</v>
      </c>
      <c r="G46" s="150">
        <f t="shared" si="45"/>
        <v>8.8230706211710423E-3</v>
      </c>
      <c r="H46" s="150">
        <f t="shared" si="45"/>
        <v>2.4290811838246117E-2</v>
      </c>
      <c r="I46" s="150">
        <f t="shared" si="45"/>
        <v>3.9125609087334388E-2</v>
      </c>
      <c r="J46" s="150">
        <f t="shared" si="45"/>
        <v>4.2127418232876329E-2</v>
      </c>
      <c r="K46" s="150">
        <f t="shared" si="45"/>
        <v>3.6546733712630175E-2</v>
      </c>
      <c r="L46" s="85">
        <f t="shared" ref="L46:U46" si="46">+K46</f>
        <v>3.6546733712630175E-2</v>
      </c>
      <c r="M46" s="85">
        <f t="shared" si="46"/>
        <v>3.6546733712630175E-2</v>
      </c>
      <c r="N46" s="85">
        <f t="shared" si="46"/>
        <v>3.6546733712630175E-2</v>
      </c>
      <c r="O46" s="85">
        <f t="shared" si="46"/>
        <v>3.6546733712630175E-2</v>
      </c>
      <c r="P46" s="85">
        <f t="shared" si="46"/>
        <v>3.6546733712630175E-2</v>
      </c>
      <c r="Q46" s="85">
        <f t="shared" si="46"/>
        <v>3.6546733712630175E-2</v>
      </c>
      <c r="R46" s="85">
        <f t="shared" si="46"/>
        <v>3.6546733712630175E-2</v>
      </c>
      <c r="S46" s="85">
        <f t="shared" si="46"/>
        <v>3.6546733712630175E-2</v>
      </c>
      <c r="T46" s="85">
        <f t="shared" si="46"/>
        <v>3.6546733712630175E-2</v>
      </c>
      <c r="U46" s="85">
        <f t="shared" si="46"/>
        <v>3.6546733712630175E-2</v>
      </c>
      <c r="V46" s="75"/>
    </row>
    <row r="47" spans="2:22" ht="12" x14ac:dyDescent="0.35">
      <c r="B47" s="82" t="s">
        <v>325</v>
      </c>
      <c r="C47" s="72"/>
      <c r="D47" s="72"/>
      <c r="E47" s="158" t="s">
        <v>64</v>
      </c>
      <c r="F47" s="158" t="s">
        <v>64</v>
      </c>
      <c r="G47" s="158" t="s">
        <v>64</v>
      </c>
      <c r="H47" s="158" t="s">
        <v>64</v>
      </c>
      <c r="I47" s="158" t="s">
        <v>64</v>
      </c>
      <c r="J47" s="158" t="s">
        <v>64</v>
      </c>
      <c r="K47" s="158" t="s">
        <v>64</v>
      </c>
      <c r="L47" s="158" t="s">
        <v>64</v>
      </c>
      <c r="M47" s="158" t="s">
        <v>64</v>
      </c>
      <c r="N47" s="158" t="s">
        <v>64</v>
      </c>
      <c r="O47" s="158" t="s">
        <v>64</v>
      </c>
      <c r="P47" s="158" t="s">
        <v>64</v>
      </c>
      <c r="Q47" s="158" t="s">
        <v>64</v>
      </c>
      <c r="R47" s="158" t="s">
        <v>64</v>
      </c>
      <c r="S47" s="158" t="s">
        <v>64</v>
      </c>
      <c r="T47" s="158" t="s">
        <v>64</v>
      </c>
      <c r="U47" s="158" t="s">
        <v>64</v>
      </c>
      <c r="V47" s="75"/>
    </row>
    <row r="48" spans="2:22" ht="10.15" x14ac:dyDescent="0.2">
      <c r="B48" s="92" t="s">
        <v>278</v>
      </c>
      <c r="C48" s="72"/>
      <c r="D48" s="72"/>
      <c r="E48" s="150">
        <f t="shared" ref="E48:U48" si="47">+IFERROR(E33/E8,"n/a")</f>
        <v>-8.8460725875885837E-3</v>
      </c>
      <c r="F48" s="150">
        <f t="shared" si="47"/>
        <v>-5.0921695246769344E-3</v>
      </c>
      <c r="G48" s="150">
        <f t="shared" si="47"/>
        <v>8.8230706211710423E-3</v>
      </c>
      <c r="H48" s="150">
        <f t="shared" si="47"/>
        <v>2.2210038057790146E-2</v>
      </c>
      <c r="I48" s="150">
        <f t="shared" si="47"/>
        <v>2.9377712900838644E-2</v>
      </c>
      <c r="J48" s="150">
        <f t="shared" si="47"/>
        <v>4.3553212496269277E-2</v>
      </c>
      <c r="K48" s="150">
        <f t="shared" si="47"/>
        <v>3.4590035082361109E-2</v>
      </c>
      <c r="L48" s="150">
        <f t="shared" si="47"/>
        <v>3.6546733712630175E-2</v>
      </c>
      <c r="M48" s="150">
        <f t="shared" si="47"/>
        <v>3.6546733712630175E-2</v>
      </c>
      <c r="N48" s="150">
        <f t="shared" si="47"/>
        <v>3.6546733712630175E-2</v>
      </c>
      <c r="O48" s="150">
        <f t="shared" si="47"/>
        <v>3.6546733712630175E-2</v>
      </c>
      <c r="P48" s="150">
        <f t="shared" si="47"/>
        <v>3.6546733712630175E-2</v>
      </c>
      <c r="Q48" s="150">
        <f t="shared" si="47"/>
        <v>3.6546733712630175E-2</v>
      </c>
      <c r="R48" s="150">
        <f t="shared" si="47"/>
        <v>3.6546733712630175E-2</v>
      </c>
      <c r="S48" s="150">
        <f t="shared" si="47"/>
        <v>3.6546733712630175E-2</v>
      </c>
      <c r="T48" s="150">
        <f t="shared" si="47"/>
        <v>3.6546733712630175E-2</v>
      </c>
      <c r="U48" s="150">
        <f t="shared" si="47"/>
        <v>3.6546733712630175E-2</v>
      </c>
    </row>
    <row r="49" spans="2:21" ht="10.15" x14ac:dyDescent="0.2">
      <c r="B49" s="92"/>
      <c r="C49" s="72"/>
      <c r="D49" s="72"/>
      <c r="E49" s="86"/>
      <c r="F49" s="86"/>
      <c r="G49" s="86"/>
      <c r="H49" s="72"/>
      <c r="I49" s="72"/>
      <c r="J49" s="72"/>
      <c r="K49" s="72"/>
      <c r="L49" s="72"/>
      <c r="M49" s="87"/>
      <c r="N49" s="87"/>
      <c r="O49" s="87"/>
      <c r="P49" s="87"/>
      <c r="Q49" s="87"/>
      <c r="R49" s="87"/>
      <c r="S49" s="87"/>
      <c r="T49" s="87"/>
      <c r="U49" s="87"/>
    </row>
    <row r="50" spans="2:21" ht="13.5" x14ac:dyDescent="0.35">
      <c r="B50" s="61" t="s">
        <v>69</v>
      </c>
      <c r="C50" s="72"/>
      <c r="D50" s="72"/>
      <c r="E50" s="88">
        <f>+'Historical Financials'!AR72</f>
        <v>-2557.7060000000001</v>
      </c>
      <c r="F50" s="88">
        <f>+'Historical Financials'!AS72</f>
        <v>-3613.0429999999997</v>
      </c>
      <c r="G50" s="88">
        <f>+'Historical Financials'!AT72</f>
        <v>-4774.7299999999996</v>
      </c>
      <c r="H50" s="88">
        <f>+'Historical Financials'!AU72</f>
        <v>-7718.3649999999998</v>
      </c>
      <c r="I50" s="88">
        <f>+'Historical Financials'!AV72</f>
        <v>-7078.7939999999999</v>
      </c>
      <c r="J50" s="88">
        <f>+'Historical Financials'!AW72</f>
        <v>-10657.314</v>
      </c>
      <c r="K50" s="88">
        <f>+'Historical Financials'!AX72</f>
        <v>-11300</v>
      </c>
      <c r="L50" s="89">
        <f t="shared" ref="L50:U50" si="48">+(((L15-L33)/(K15-K33)-1)*0.5+1)*K50</f>
        <v>-11573.356067947605</v>
      </c>
      <c r="M50" s="89">
        <f t="shared" si="48"/>
        <v>-11965.256534172298</v>
      </c>
      <c r="N50" s="89">
        <f t="shared" si="48"/>
        <v>-12374.240645366352</v>
      </c>
      <c r="O50" s="89">
        <f t="shared" si="48"/>
        <v>-12797.991186042806</v>
      </c>
      <c r="P50" s="89">
        <f t="shared" si="48"/>
        <v>-13234.1096634725</v>
      </c>
      <c r="Q50" s="89">
        <f t="shared" si="48"/>
        <v>-13680.168853653671</v>
      </c>
      <c r="R50" s="89">
        <f t="shared" si="48"/>
        <v>-14133.758288565494</v>
      </c>
      <c r="S50" s="89">
        <f t="shared" si="48"/>
        <v>-14592.522392015289</v>
      </c>
      <c r="T50" s="89">
        <f t="shared" si="48"/>
        <v>-15054.191450787699</v>
      </c>
      <c r="U50" s="89">
        <f t="shared" si="48"/>
        <v>-15516.605914982982</v>
      </c>
    </row>
    <row r="51" spans="2:21" ht="10.15" x14ac:dyDescent="0.2">
      <c r="B51" s="90" t="s">
        <v>218</v>
      </c>
      <c r="C51" s="72"/>
      <c r="D51" s="72"/>
      <c r="E51" s="72">
        <f t="shared" ref="E51:T51" si="49">E33+E50</f>
        <v>-7900.380000000001</v>
      </c>
      <c r="F51" s="72">
        <f t="shared" si="49"/>
        <v>-8728.8019999999997</v>
      </c>
      <c r="G51" s="72">
        <f t="shared" si="49"/>
        <v>8392.1419999999998</v>
      </c>
      <c r="H51" s="72">
        <f t="shared" si="49"/>
        <v>32626.090000000018</v>
      </c>
      <c r="I51" s="72">
        <f t="shared" si="49"/>
        <v>59484.996999999996</v>
      </c>
      <c r="J51" s="72">
        <f t="shared" si="49"/>
        <v>106213.47395952216</v>
      </c>
      <c r="K51" s="72">
        <f t="shared" si="49"/>
        <v>94766.518003146848</v>
      </c>
      <c r="L51" s="72">
        <f t="shared" si="49"/>
        <v>116943.21478476927</v>
      </c>
      <c r="M51" s="72">
        <f t="shared" si="49"/>
        <v>134408.67209887377</v>
      </c>
      <c r="N51" s="72">
        <f t="shared" si="49"/>
        <v>153245.86192118147</v>
      </c>
      <c r="O51" s="72">
        <f t="shared" si="49"/>
        <v>173422.24809625268</v>
      </c>
      <c r="P51" s="72">
        <f t="shared" si="49"/>
        <v>194889.51211098704</v>
      </c>
      <c r="Q51" s="72">
        <f t="shared" si="49"/>
        <v>217584.35182326951</v>
      </c>
      <c r="R51" s="72">
        <f t="shared" si="49"/>
        <v>241429.59553012234</v>
      </c>
      <c r="S51" s="72">
        <f t="shared" si="49"/>
        <v>266335.5818095124</v>
      </c>
      <c r="T51" s="72">
        <f t="shared" si="49"/>
        <v>292201.75014930608</v>
      </c>
      <c r="U51" s="72">
        <f t="shared" ref="U51" si="50">U33+U50</f>
        <v>318918.38490136538</v>
      </c>
    </row>
    <row r="52" spans="2:21" ht="10.15" x14ac:dyDescent="0.2">
      <c r="B52" s="91" t="s">
        <v>85</v>
      </c>
      <c r="C52" s="79"/>
      <c r="D52" s="79"/>
      <c r="E52" s="83"/>
      <c r="F52" s="83">
        <f t="shared" ref="F52:U52" si="51">F51/E51-1</f>
        <v>0.10485850047719203</v>
      </c>
      <c r="G52" s="83">
        <f t="shared" si="51"/>
        <v>-1.9614311333903554</v>
      </c>
      <c r="H52" s="83">
        <f t="shared" si="51"/>
        <v>2.8876951796096897</v>
      </c>
      <c r="I52" s="83">
        <f t="shared" si="51"/>
        <v>0.82323401302454458</v>
      </c>
      <c r="J52" s="83">
        <f t="shared" si="51"/>
        <v>0.78555063152347748</v>
      </c>
      <c r="K52" s="83">
        <f t="shared" si="51"/>
        <v>-0.10777310570538101</v>
      </c>
      <c r="L52" s="83">
        <f t="shared" si="51"/>
        <v>0.23401405104792405</v>
      </c>
      <c r="M52" s="83">
        <f t="shared" si="51"/>
        <v>0.14934989897660311</v>
      </c>
      <c r="N52" s="83">
        <f t="shared" si="51"/>
        <v>0.14014861934243861</v>
      </c>
      <c r="O52" s="83">
        <f t="shared" si="51"/>
        <v>0.13166023488091616</v>
      </c>
      <c r="P52" s="83">
        <f t="shared" si="51"/>
        <v>0.12378610155497238</v>
      </c>
      <c r="Q52" s="83">
        <f t="shared" si="51"/>
        <v>0.11644977436937731</v>
      </c>
      <c r="R52" s="83">
        <f t="shared" si="51"/>
        <v>0.10959080240393781</v>
      </c>
      <c r="S52" s="83">
        <f t="shared" si="51"/>
        <v>0.10316045232442361</v>
      </c>
      <c r="T52" s="83">
        <f t="shared" si="51"/>
        <v>9.7118710778545614E-2</v>
      </c>
      <c r="U52" s="83">
        <f t="shared" si="51"/>
        <v>9.1432151718488841E-2</v>
      </c>
    </row>
    <row r="53" spans="2:21" s="81" customFormat="1" ht="10.15" x14ac:dyDescent="0.2">
      <c r="B53" s="92" t="s">
        <v>87</v>
      </c>
      <c r="C53" s="79"/>
      <c r="D53" s="79"/>
      <c r="E53" s="84">
        <f t="shared" ref="E53:U53" si="52">E51/E15</f>
        <v>-0.26210635923710951</v>
      </c>
      <c r="F53" s="84">
        <f t="shared" si="52"/>
        <v>-0.14672261493231048</v>
      </c>
      <c r="G53" s="84">
        <f t="shared" si="52"/>
        <v>8.9325678008157092E-2</v>
      </c>
      <c r="H53" s="84">
        <f t="shared" si="52"/>
        <v>0.24989807371519412</v>
      </c>
      <c r="I53" s="84">
        <f t="shared" si="52"/>
        <v>0.24020831838803552</v>
      </c>
      <c r="J53" s="84">
        <f t="shared" si="52"/>
        <v>0.2701970898822687</v>
      </c>
      <c r="K53" s="84">
        <f t="shared" si="52"/>
        <v>0.206684970174632</v>
      </c>
      <c r="L53" s="84">
        <f t="shared" si="52"/>
        <v>0.2348216057553697</v>
      </c>
      <c r="M53" s="84">
        <f t="shared" si="52"/>
        <v>0.24849547359006074</v>
      </c>
      <c r="N53" s="84">
        <f t="shared" si="52"/>
        <v>0.26101912811862393</v>
      </c>
      <c r="O53" s="84">
        <f t="shared" si="52"/>
        <v>0.27243095920461086</v>
      </c>
      <c r="P53" s="84">
        <f t="shared" si="52"/>
        <v>0.28278872035198283</v>
      </c>
      <c r="Q53" s="84">
        <f t="shared" si="52"/>
        <v>0.2921620724847761</v>
      </c>
      <c r="R53" s="84">
        <f t="shared" si="52"/>
        <v>0.30062673230405762</v>
      </c>
      <c r="S53" s="84">
        <f t="shared" si="52"/>
        <v>0.3082601186532527</v>
      </c>
      <c r="T53" s="84">
        <f t="shared" si="52"/>
        <v>0.31513828379289199</v>
      </c>
      <c r="U53" s="84">
        <f t="shared" si="52"/>
        <v>0.32133388157700171</v>
      </c>
    </row>
    <row r="54" spans="2:21" s="81" customFormat="1" ht="10.15" x14ac:dyDescent="0.2">
      <c r="B54" s="92" t="s">
        <v>359</v>
      </c>
      <c r="C54" s="79"/>
      <c r="D54" s="79"/>
      <c r="E54" s="84">
        <f t="shared" ref="E54:U54" si="53">+IFERROR(E51/E8,"n/a")</f>
        <v>-1.3080965626862708E-2</v>
      </c>
      <c r="F54" s="84">
        <f t="shared" si="53"/>
        <v>-8.6885522815556941E-3</v>
      </c>
      <c r="G54" s="84">
        <f t="shared" si="53"/>
        <v>5.6235422907502698E-3</v>
      </c>
      <c r="H54" s="84">
        <f t="shared" si="53"/>
        <v>1.7960998619931452E-2</v>
      </c>
      <c r="I54" s="84">
        <f t="shared" si="53"/>
        <v>2.6253510167010288E-2</v>
      </c>
      <c r="J54" s="84">
        <f t="shared" si="53"/>
        <v>3.9581644670079678E-2</v>
      </c>
      <c r="K54" s="84">
        <f t="shared" si="53"/>
        <v>3.0904919328687702E-2</v>
      </c>
      <c r="L54" s="84">
        <f t="shared" si="53"/>
        <v>3.3255575540806048E-2</v>
      </c>
      <c r="M54" s="84">
        <f t="shared" si="53"/>
        <v>3.3559241005141426E-2</v>
      </c>
      <c r="N54" s="84">
        <f t="shared" si="53"/>
        <v>3.3816158916732467E-2</v>
      </c>
      <c r="O54" s="84">
        <f t="shared" si="53"/>
        <v>3.4035058409582902E-2</v>
      </c>
      <c r="P54" s="84">
        <f t="shared" si="53"/>
        <v>3.4222809702126385E-2</v>
      </c>
      <c r="Q54" s="84">
        <f t="shared" si="53"/>
        <v>3.4384856539361776E-2</v>
      </c>
      <c r="R54" s="84">
        <f t="shared" si="53"/>
        <v>3.4525541343643856E-2</v>
      </c>
      <c r="S54" s="84">
        <f t="shared" si="53"/>
        <v>3.46483510941578E-2</v>
      </c>
      <c r="T54" s="84">
        <f t="shared" si="53"/>
        <v>3.4756104300076862E-2</v>
      </c>
      <c r="U54" s="84">
        <f t="shared" si="53"/>
        <v>3.4851093961794075E-2</v>
      </c>
    </row>
    <row r="55" spans="2:21" s="81" customFormat="1" x14ac:dyDescent="0.2">
      <c r="B55" s="92"/>
      <c r="C55" s="79"/>
      <c r="D55" s="79"/>
      <c r="E55" s="84"/>
      <c r="F55" s="84"/>
      <c r="G55" s="84"/>
      <c r="H55" s="84"/>
      <c r="I55" s="84"/>
      <c r="J55" s="84"/>
      <c r="K55" s="84"/>
      <c r="L55" s="84"/>
      <c r="M55" s="84"/>
      <c r="N55" s="84"/>
      <c r="O55" s="84"/>
      <c r="P55" s="84"/>
      <c r="Q55" s="84"/>
      <c r="R55" s="84"/>
      <c r="S55" s="84"/>
      <c r="T55" s="84"/>
      <c r="U55" s="84"/>
    </row>
    <row r="56" spans="2:21" s="81" customFormat="1" x14ac:dyDescent="0.2">
      <c r="B56" s="97" t="s">
        <v>65</v>
      </c>
      <c r="C56" s="79"/>
      <c r="D56" s="79"/>
      <c r="E56" s="84"/>
      <c r="F56" s="84"/>
      <c r="G56" s="84"/>
      <c r="H56" s="84"/>
      <c r="I56" s="84"/>
      <c r="J56" s="84"/>
      <c r="K56" s="84"/>
      <c r="L56" s="84"/>
      <c r="M56" s="84"/>
      <c r="N56" s="84"/>
      <c r="O56" s="84"/>
      <c r="P56" s="84"/>
      <c r="Q56" s="84"/>
      <c r="R56" s="84"/>
      <c r="S56" s="84"/>
      <c r="T56" s="84"/>
      <c r="U56" s="84"/>
    </row>
    <row r="57" spans="2:21" s="81" customFormat="1" x14ac:dyDescent="0.2">
      <c r="B57" s="76" t="s">
        <v>218</v>
      </c>
      <c r="C57" s="79"/>
      <c r="D57" s="79"/>
      <c r="E57" s="79">
        <f>+E51</f>
        <v>-7900.380000000001</v>
      </c>
      <c r="F57" s="79">
        <f t="shared" ref="F57:U57" si="54">+F51</f>
        <v>-8728.8019999999997</v>
      </c>
      <c r="G57" s="79">
        <f t="shared" si="54"/>
        <v>8392.1419999999998</v>
      </c>
      <c r="H57" s="79">
        <f t="shared" si="54"/>
        <v>32626.090000000018</v>
      </c>
      <c r="I57" s="79">
        <f t="shared" si="54"/>
        <v>59484.996999999996</v>
      </c>
      <c r="J57" s="79">
        <f t="shared" si="54"/>
        <v>106213.47395952216</v>
      </c>
      <c r="K57" s="79">
        <f t="shared" si="54"/>
        <v>94766.518003146848</v>
      </c>
      <c r="L57" s="79">
        <f t="shared" si="54"/>
        <v>116943.21478476927</v>
      </c>
      <c r="M57" s="79">
        <f t="shared" si="54"/>
        <v>134408.67209887377</v>
      </c>
      <c r="N57" s="79">
        <f t="shared" si="54"/>
        <v>153245.86192118147</v>
      </c>
      <c r="O57" s="79">
        <f t="shared" si="54"/>
        <v>173422.24809625268</v>
      </c>
      <c r="P57" s="79">
        <f t="shared" si="54"/>
        <v>194889.51211098704</v>
      </c>
      <c r="Q57" s="79">
        <f t="shared" si="54"/>
        <v>217584.35182326951</v>
      </c>
      <c r="R57" s="79">
        <f t="shared" si="54"/>
        <v>241429.59553012234</v>
      </c>
      <c r="S57" s="79">
        <f t="shared" si="54"/>
        <v>266335.5818095124</v>
      </c>
      <c r="T57" s="79">
        <f t="shared" si="54"/>
        <v>292201.75014930608</v>
      </c>
      <c r="U57" s="79">
        <f t="shared" si="54"/>
        <v>318918.38490136538</v>
      </c>
    </row>
    <row r="58" spans="2:21" s="81" customFormat="1" ht="13.5" x14ac:dyDescent="0.35">
      <c r="B58" s="76" t="s">
        <v>217</v>
      </c>
      <c r="C58" s="79"/>
      <c r="D58" s="155"/>
      <c r="E58" s="155">
        <f>+-E81</f>
        <v>-637.83100000000002</v>
      </c>
      <c r="F58" s="155">
        <f t="shared" ref="F58:U58" si="55">+-F81</f>
        <v>-651.52300000000002</v>
      </c>
      <c r="G58" s="155">
        <f t="shared" si="55"/>
        <v>-1495.38</v>
      </c>
      <c r="H58" s="155">
        <f t="shared" si="55"/>
        <v>-2224.1689999999999</v>
      </c>
      <c r="I58" s="155">
        <f t="shared" si="55"/>
        <v>-786.23500000000001</v>
      </c>
      <c r="J58" s="155">
        <f t="shared" si="55"/>
        <v>-1838.9082117189237</v>
      </c>
      <c r="K58" s="155">
        <f t="shared" si="55"/>
        <v>-2065</v>
      </c>
      <c r="L58" s="155">
        <f t="shared" si="55"/>
        <v>-2242.9056440715735</v>
      </c>
      <c r="M58" s="155">
        <f t="shared" si="55"/>
        <v>-2436.0311474591831</v>
      </c>
      <c r="N58" s="155">
        <f t="shared" si="55"/>
        <v>-2644.1765559186251</v>
      </c>
      <c r="O58" s="155">
        <f t="shared" si="55"/>
        <v>-2866.9649337975061</v>
      </c>
      <c r="P58" s="155">
        <f t="shared" si="55"/>
        <v>-3103.8477818496526</v>
      </c>
      <c r="Q58" s="155">
        <f t="shared" si="55"/>
        <v>-3354.1142436832738</v>
      </c>
      <c r="R58" s="155">
        <f t="shared" si="55"/>
        <v>-3616.9036462344234</v>
      </c>
      <c r="S58" s="155">
        <f t="shared" si="55"/>
        <v>-3891.2208350507358</v>
      </c>
      <c r="T58" s="155">
        <f t="shared" si="55"/>
        <v>-4175.9537117311893</v>
      </c>
      <c r="U58" s="155">
        <f t="shared" si="55"/>
        <v>-4469.8923574174951</v>
      </c>
    </row>
    <row r="59" spans="2:21" s="81" customFormat="1" x14ac:dyDescent="0.2">
      <c r="B59" s="92" t="s">
        <v>95</v>
      </c>
      <c r="C59" s="79"/>
      <c r="D59" s="79"/>
      <c r="E59" s="79">
        <f>SUM(E57:E58)</f>
        <v>-8538.2110000000011</v>
      </c>
      <c r="F59" s="79">
        <f t="shared" ref="F59:U59" si="56">SUM(F57:F58)</f>
        <v>-9380.3249999999989</v>
      </c>
      <c r="G59" s="79">
        <f t="shared" si="56"/>
        <v>6896.7619999999997</v>
      </c>
      <c r="H59" s="79">
        <f t="shared" si="56"/>
        <v>30401.921000000017</v>
      </c>
      <c r="I59" s="79">
        <f t="shared" si="56"/>
        <v>58698.761999999995</v>
      </c>
      <c r="J59" s="79">
        <f t="shared" si="56"/>
        <v>104374.56574780324</v>
      </c>
      <c r="K59" s="79">
        <f t="shared" si="56"/>
        <v>92701.518003146848</v>
      </c>
      <c r="L59" s="79">
        <f t="shared" si="56"/>
        <v>114700.30914069769</v>
      </c>
      <c r="M59" s="79">
        <f t="shared" si="56"/>
        <v>131972.64095141459</v>
      </c>
      <c r="N59" s="79">
        <f t="shared" si="56"/>
        <v>150601.68536526285</v>
      </c>
      <c r="O59" s="79">
        <f t="shared" si="56"/>
        <v>170555.28316245516</v>
      </c>
      <c r="P59" s="79">
        <f t="shared" si="56"/>
        <v>191785.66432913739</v>
      </c>
      <c r="Q59" s="79">
        <f t="shared" si="56"/>
        <v>214230.23757958625</v>
      </c>
      <c r="R59" s="79">
        <f t="shared" si="56"/>
        <v>237812.69188388792</v>
      </c>
      <c r="S59" s="79">
        <f t="shared" si="56"/>
        <v>262444.36097446166</v>
      </c>
      <c r="T59" s="79">
        <f t="shared" si="56"/>
        <v>288025.7964375749</v>
      </c>
      <c r="U59" s="79">
        <f t="shared" si="56"/>
        <v>314448.49254394788</v>
      </c>
    </row>
    <row r="60" spans="2:21" s="81" customFormat="1" x14ac:dyDescent="0.2">
      <c r="B60" s="156" t="s">
        <v>85</v>
      </c>
      <c r="C60" s="79"/>
      <c r="D60" s="79"/>
      <c r="E60" s="83"/>
      <c r="F60" s="83">
        <f t="shared" ref="F60" si="57">F59/E59-1</f>
        <v>9.8628857965678884E-2</v>
      </c>
      <c r="G60" s="83">
        <f t="shared" ref="G60" si="58">G59/F59-1</f>
        <v>-1.7352369987180616</v>
      </c>
      <c r="H60" s="83">
        <f t="shared" ref="H60" si="59">H59/G59-1</f>
        <v>3.4081441406851534</v>
      </c>
      <c r="I60" s="83">
        <f t="shared" ref="I60" si="60">I59/H59-1</f>
        <v>0.9307583228046663</v>
      </c>
      <c r="J60" s="83">
        <f t="shared" ref="J60" si="61">J59/I59-1</f>
        <v>0.77813913260731549</v>
      </c>
      <c r="K60" s="83">
        <f t="shared" ref="K60" si="62">K59/J59-1</f>
        <v>-0.11183804848454726</v>
      </c>
      <c r="L60" s="83">
        <f t="shared" ref="L60" si="63">L59/K59-1</f>
        <v>0.23730777673785308</v>
      </c>
      <c r="M60" s="83">
        <f t="shared" ref="M60" si="64">M59/L59-1</f>
        <v>0.15058661951407393</v>
      </c>
      <c r="N60" s="83">
        <f t="shared" ref="N60" si="65">N59/M59-1</f>
        <v>0.14115838161264427</v>
      </c>
      <c r="O60" s="83">
        <f t="shared" ref="O60" si="66">O59/N59-1</f>
        <v>0.13249252655305765</v>
      </c>
      <c r="P60" s="83">
        <f t="shared" ref="P60" si="67">P59/O59-1</f>
        <v>0.12447800368904516</v>
      </c>
      <c r="Q60" s="83">
        <f t="shared" ref="Q60" si="68">Q59/P59-1</f>
        <v>0.1170294627023325</v>
      </c>
      <c r="R60" s="83">
        <f t="shared" ref="R60" si="69">R59/Q59-1</f>
        <v>0.11007995216147215</v>
      </c>
      <c r="S60" s="83">
        <f t="shared" ref="S60" si="70">S59/R59-1</f>
        <v>0.1035759231159965</v>
      </c>
      <c r="T60" s="83">
        <f t="shared" ref="T60" si="71">T59/S59-1</f>
        <v>9.7473747837937275E-2</v>
      </c>
      <c r="U60" s="83">
        <f t="shared" ref="U60" si="72">U59/T59-1</f>
        <v>9.1737255597172496E-2</v>
      </c>
    </row>
    <row r="61" spans="2:21" s="81" customFormat="1" x14ac:dyDescent="0.2">
      <c r="B61" s="156" t="s">
        <v>589</v>
      </c>
      <c r="C61" s="79"/>
      <c r="D61" s="79"/>
      <c r="E61" s="84"/>
      <c r="F61" s="83">
        <f>+F60</f>
        <v>9.8628857965678884E-2</v>
      </c>
      <c r="G61" s="83">
        <f t="shared" ref="G61:U61" si="73">+G60</f>
        <v>-1.7352369987180616</v>
      </c>
      <c r="H61" s="83">
        <f t="shared" si="73"/>
        <v>3.4081441406851534</v>
      </c>
      <c r="I61" s="83">
        <f t="shared" si="73"/>
        <v>0.9307583228046663</v>
      </c>
      <c r="J61" s="83">
        <f t="shared" si="73"/>
        <v>0.77813913260731549</v>
      </c>
      <c r="K61" s="83">
        <f t="shared" si="73"/>
        <v>-0.11183804848454726</v>
      </c>
      <c r="L61" s="83">
        <f t="shared" si="73"/>
        <v>0.23730777673785308</v>
      </c>
      <c r="M61" s="83">
        <f t="shared" si="73"/>
        <v>0.15058661951407393</v>
      </c>
      <c r="N61" s="83">
        <f t="shared" si="73"/>
        <v>0.14115838161264427</v>
      </c>
      <c r="O61" s="83">
        <f t="shared" si="73"/>
        <v>0.13249252655305765</v>
      </c>
      <c r="P61" s="83">
        <f t="shared" si="73"/>
        <v>0.12447800368904516</v>
      </c>
      <c r="Q61" s="83">
        <f t="shared" si="73"/>
        <v>0.1170294627023325</v>
      </c>
      <c r="R61" s="83">
        <f t="shared" si="73"/>
        <v>0.11007995216147215</v>
      </c>
      <c r="S61" s="83">
        <f t="shared" si="73"/>
        <v>0.1035759231159965</v>
      </c>
      <c r="T61" s="83">
        <f t="shared" si="73"/>
        <v>9.7473747837937275E-2</v>
      </c>
      <c r="U61" s="83">
        <f t="shared" si="73"/>
        <v>9.1737255597172496E-2</v>
      </c>
    </row>
    <row r="62" spans="2:21" s="81" customFormat="1" x14ac:dyDescent="0.2">
      <c r="B62" s="156" t="s">
        <v>87</v>
      </c>
      <c r="C62" s="79"/>
      <c r="D62" s="79"/>
      <c r="E62" s="84">
        <f>+E59/E15</f>
        <v>-0.28326731114303866</v>
      </c>
      <c r="F62" s="84">
        <f t="shared" ref="F62:U62" si="74">+F59/F15</f>
        <v>-0.15767407863243149</v>
      </c>
      <c r="G62" s="84">
        <f t="shared" si="74"/>
        <v>7.3408903437393397E-2</v>
      </c>
      <c r="H62" s="84">
        <f t="shared" si="74"/>
        <v>0.23286215097002147</v>
      </c>
      <c r="I62" s="84">
        <f t="shared" si="74"/>
        <v>0.23703339703420545</v>
      </c>
      <c r="J62" s="84">
        <f t="shared" si="74"/>
        <v>0.26551908031489108</v>
      </c>
      <c r="K62" s="84">
        <f t="shared" si="74"/>
        <v>0.20218122272876252</v>
      </c>
      <c r="L62" s="84">
        <f t="shared" si="74"/>
        <v>0.23031785830950022</v>
      </c>
      <c r="M62" s="84">
        <f t="shared" si="74"/>
        <v>0.24399172614419132</v>
      </c>
      <c r="N62" s="84">
        <f t="shared" si="74"/>
        <v>0.25651538067275448</v>
      </c>
      <c r="O62" s="84">
        <f t="shared" si="74"/>
        <v>0.2679272117587414</v>
      </c>
      <c r="P62" s="84">
        <f t="shared" si="74"/>
        <v>0.27828497290611337</v>
      </c>
      <c r="Q62" s="84">
        <f t="shared" si="74"/>
        <v>0.28765832503890665</v>
      </c>
      <c r="R62" s="84">
        <f t="shared" si="74"/>
        <v>0.29612298485818817</v>
      </c>
      <c r="S62" s="84">
        <f t="shared" si="74"/>
        <v>0.30375637120738325</v>
      </c>
      <c r="T62" s="84">
        <f t="shared" si="74"/>
        <v>0.31063453634702254</v>
      </c>
      <c r="U62" s="84">
        <f t="shared" si="74"/>
        <v>0.31683013413113226</v>
      </c>
    </row>
    <row r="63" spans="2:21" x14ac:dyDescent="0.2">
      <c r="C63" s="72"/>
      <c r="D63" s="72"/>
      <c r="E63" s="93"/>
      <c r="F63" s="93"/>
      <c r="G63" s="93"/>
      <c r="H63" s="72"/>
      <c r="I63" s="72"/>
      <c r="J63" s="72"/>
      <c r="K63" s="72"/>
      <c r="L63" s="72"/>
      <c r="M63" s="72"/>
      <c r="N63" s="72"/>
      <c r="O63" s="72"/>
      <c r="P63" s="72"/>
      <c r="Q63" s="72"/>
      <c r="R63" s="72"/>
      <c r="S63" s="72"/>
      <c r="T63" s="72"/>
      <c r="U63" s="72"/>
    </row>
    <row r="64" spans="2:21" x14ac:dyDescent="0.2">
      <c r="B64" s="61" t="s">
        <v>219</v>
      </c>
      <c r="C64" s="72"/>
      <c r="D64" s="72"/>
      <c r="E64" s="73">
        <f>-'Historical Financials'!AR98</f>
        <v>27.436</v>
      </c>
      <c r="F64" s="73">
        <f>-'Historical Financials'!AS98</f>
        <v>43.045999999999999</v>
      </c>
      <c r="G64" s="73">
        <f>-'Historical Financials'!AT98</f>
        <v>3287.232</v>
      </c>
      <c r="H64" s="73">
        <f>-'Historical Financials'!AU98</f>
        <v>635.71600000000001</v>
      </c>
      <c r="I64" s="73">
        <f>-'Historical Financials'!AV98</f>
        <v>583.87900000000002</v>
      </c>
      <c r="J64" s="73">
        <f>-'Historical Financials'!AW98</f>
        <v>2728.0596809615545</v>
      </c>
      <c r="K64" s="73">
        <f>-'Historical Financials'!AX98</f>
        <v>3063</v>
      </c>
      <c r="L64" s="72">
        <f t="shared" ref="L64:U64" si="75">+L65*L15</f>
        <v>3326.8861926349782</v>
      </c>
      <c r="M64" s="72">
        <f t="shared" si="75"/>
        <v>3613.3478957227494</v>
      </c>
      <c r="N64" s="72">
        <f t="shared" si="75"/>
        <v>3922.0885185369243</v>
      </c>
      <c r="O64" s="72">
        <f t="shared" si="75"/>
        <v>4252.5489550710708</v>
      </c>
      <c r="P64" s="72">
        <f t="shared" si="75"/>
        <v>4603.9156202447875</v>
      </c>
      <c r="Q64" s="72">
        <f t="shared" si="75"/>
        <v>4975.1341057636164</v>
      </c>
      <c r="R64" s="72">
        <f t="shared" si="75"/>
        <v>5364.927781315273</v>
      </c>
      <c r="S64" s="72">
        <f t="shared" si="75"/>
        <v>5771.8205412883308</v>
      </c>
      <c r="T64" s="72">
        <f t="shared" si="75"/>
        <v>6194.1628179334784</v>
      </c>
      <c r="U64" s="72">
        <f t="shared" si="75"/>
        <v>6630.1599471040136</v>
      </c>
    </row>
    <row r="65" spans="2:22" s="81" customFormat="1" x14ac:dyDescent="0.2">
      <c r="B65" s="76" t="s">
        <v>94</v>
      </c>
      <c r="C65" s="79"/>
      <c r="D65" s="79"/>
      <c r="E65" s="84">
        <f t="shared" ref="E65:K65" si="76">+E64/E15</f>
        <v>9.1022837787920776E-4</v>
      </c>
      <c r="F65" s="84">
        <f t="shared" si="76"/>
        <v>7.2356111209490568E-4</v>
      </c>
      <c r="G65" s="84">
        <f t="shared" si="76"/>
        <v>3.4989187167008169E-2</v>
      </c>
      <c r="H65" s="84">
        <f t="shared" si="76"/>
        <v>4.8692382026141734E-3</v>
      </c>
      <c r="I65" s="84">
        <f t="shared" si="76"/>
        <v>2.3577809499105767E-3</v>
      </c>
      <c r="J65" s="84">
        <f t="shared" si="76"/>
        <v>6.9399272930464138E-3</v>
      </c>
      <c r="K65" s="84">
        <f t="shared" si="76"/>
        <v>6.6803769620814354E-3</v>
      </c>
      <c r="L65" s="85">
        <f t="shared" ref="L65:U65" si="77">+K65</f>
        <v>6.6803769620814354E-3</v>
      </c>
      <c r="M65" s="85">
        <f t="shared" si="77"/>
        <v>6.6803769620814354E-3</v>
      </c>
      <c r="N65" s="85">
        <f t="shared" si="77"/>
        <v>6.6803769620814354E-3</v>
      </c>
      <c r="O65" s="85">
        <f t="shared" si="77"/>
        <v>6.6803769620814354E-3</v>
      </c>
      <c r="P65" s="85">
        <f t="shared" si="77"/>
        <v>6.6803769620814354E-3</v>
      </c>
      <c r="Q65" s="85">
        <f t="shared" si="77"/>
        <v>6.6803769620814354E-3</v>
      </c>
      <c r="R65" s="85">
        <f t="shared" si="77"/>
        <v>6.6803769620814354E-3</v>
      </c>
      <c r="S65" s="85">
        <f t="shared" si="77"/>
        <v>6.6803769620814354E-3</v>
      </c>
      <c r="T65" s="85">
        <f t="shared" si="77"/>
        <v>6.6803769620814354E-3</v>
      </c>
      <c r="U65" s="85">
        <f t="shared" si="77"/>
        <v>6.6803769620814354E-3</v>
      </c>
    </row>
    <row r="66" spans="2:22" x14ac:dyDescent="0.2">
      <c r="C66" s="72"/>
      <c r="D66" s="72"/>
      <c r="E66" s="72"/>
      <c r="F66" s="72"/>
      <c r="G66" s="72"/>
      <c r="H66" s="72"/>
      <c r="I66" s="72"/>
      <c r="J66" s="72"/>
      <c r="K66" s="72"/>
      <c r="L66" s="72"/>
      <c r="M66" s="72"/>
      <c r="N66" s="72"/>
      <c r="O66" s="72"/>
      <c r="P66" s="72"/>
      <c r="Q66" s="72"/>
      <c r="R66" s="72"/>
      <c r="S66" s="72"/>
      <c r="T66" s="72"/>
      <c r="U66" s="72"/>
    </row>
    <row r="67" spans="2:22" x14ac:dyDescent="0.2">
      <c r="B67" s="61" t="s">
        <v>279</v>
      </c>
      <c r="C67" s="72"/>
      <c r="D67" s="72"/>
      <c r="E67" s="72">
        <f t="shared" ref="E67:T67" si="78">E51-E64</f>
        <v>-7927.8160000000007</v>
      </c>
      <c r="F67" s="72">
        <f t="shared" si="78"/>
        <v>-8771.848</v>
      </c>
      <c r="G67" s="72">
        <f t="shared" si="78"/>
        <v>5104.91</v>
      </c>
      <c r="H67" s="72">
        <f t="shared" si="78"/>
        <v>31990.374000000018</v>
      </c>
      <c r="I67" s="72">
        <f t="shared" si="78"/>
        <v>58901.117999999995</v>
      </c>
      <c r="J67" s="72">
        <f t="shared" si="78"/>
        <v>103485.41427856061</v>
      </c>
      <c r="K67" s="72">
        <f t="shared" si="78"/>
        <v>91703.518003146848</v>
      </c>
      <c r="L67" s="72">
        <f t="shared" si="78"/>
        <v>113616.32859213429</v>
      </c>
      <c r="M67" s="72">
        <f t="shared" si="78"/>
        <v>130795.32420315102</v>
      </c>
      <c r="N67" s="72">
        <f t="shared" si="78"/>
        <v>149323.77340264455</v>
      </c>
      <c r="O67" s="72">
        <f t="shared" si="78"/>
        <v>169169.6991411816</v>
      </c>
      <c r="P67" s="72">
        <f t="shared" si="78"/>
        <v>190285.59649074226</v>
      </c>
      <c r="Q67" s="72">
        <f t="shared" si="78"/>
        <v>212609.21771750588</v>
      </c>
      <c r="R67" s="72">
        <f t="shared" si="78"/>
        <v>236064.66774880706</v>
      </c>
      <c r="S67" s="72">
        <f t="shared" si="78"/>
        <v>260563.76126822407</v>
      </c>
      <c r="T67" s="72">
        <f t="shared" si="78"/>
        <v>286007.5873313726</v>
      </c>
      <c r="U67" s="72">
        <f t="shared" ref="U67" si="79">U51-U64</f>
        <v>312288.22495426139</v>
      </c>
    </row>
    <row r="68" spans="2:22" s="81" customFormat="1" x14ac:dyDescent="0.2">
      <c r="B68" s="82" t="s">
        <v>85</v>
      </c>
      <c r="C68" s="79"/>
      <c r="D68" s="79"/>
      <c r="E68" s="83"/>
      <c r="F68" s="83">
        <f t="shared" ref="F68:U68" si="80">F67/E67-1</f>
        <v>0.10646463035973586</v>
      </c>
      <c r="G68" s="83">
        <f t="shared" si="80"/>
        <v>-1.5819651685710925</v>
      </c>
      <c r="H68" s="83">
        <f t="shared" si="80"/>
        <v>5.2665892248834982</v>
      </c>
      <c r="I68" s="83">
        <f t="shared" si="80"/>
        <v>0.84121379762549697</v>
      </c>
      <c r="J68" s="83">
        <f t="shared" si="80"/>
        <v>0.7569346354098172</v>
      </c>
      <c r="K68" s="83">
        <f t="shared" si="80"/>
        <v>-0.11385079102741391</v>
      </c>
      <c r="L68" s="83">
        <f t="shared" si="80"/>
        <v>0.23895278028739853</v>
      </c>
      <c r="M68" s="83">
        <f t="shared" si="80"/>
        <v>0.15120181952619483</v>
      </c>
      <c r="N68" s="83">
        <f t="shared" si="80"/>
        <v>0.1416598744058708</v>
      </c>
      <c r="O68" s="83">
        <f t="shared" si="80"/>
        <v>0.13290533239488544</v>
      </c>
      <c r="P68" s="83">
        <f t="shared" si="80"/>
        <v>0.12482080098716897</v>
      </c>
      <c r="Q68" s="83">
        <f t="shared" si="80"/>
        <v>0.11731640039213209</v>
      </c>
      <c r="R68" s="83">
        <f t="shared" si="80"/>
        <v>0.11032188671361598</v>
      </c>
      <c r="S68" s="83">
        <f t="shared" si="80"/>
        <v>0.10378128058319236</v>
      </c>
      <c r="T68" s="83">
        <f t="shared" si="80"/>
        <v>9.7649135625412997E-2</v>
      </c>
      <c r="U68" s="83">
        <f t="shared" si="80"/>
        <v>9.1887903632569268E-2</v>
      </c>
    </row>
    <row r="69" spans="2:22" s="81" customFormat="1" x14ac:dyDescent="0.2">
      <c r="B69" s="76" t="s">
        <v>87</v>
      </c>
      <c r="C69" s="79"/>
      <c r="D69" s="79"/>
      <c r="E69" s="84">
        <f t="shared" ref="E69:U69" si="81">E67/E15</f>
        <v>-0.26301658761498869</v>
      </c>
      <c r="F69" s="84">
        <f t="shared" si="81"/>
        <v>-0.14744617604440538</v>
      </c>
      <c r="G69" s="84">
        <f t="shared" si="81"/>
        <v>5.4336490841148923E-2</v>
      </c>
      <c r="H69" s="84">
        <f t="shared" si="81"/>
        <v>0.24502883551257995</v>
      </c>
      <c r="I69" s="84">
        <f t="shared" si="81"/>
        <v>0.23785053743812495</v>
      </c>
      <c r="J69" s="84">
        <f t="shared" si="81"/>
        <v>0.26325716258922227</v>
      </c>
      <c r="K69" s="84">
        <f t="shared" si="81"/>
        <v>0.20000459321255054</v>
      </c>
      <c r="L69" s="84">
        <f t="shared" si="81"/>
        <v>0.22814122879328827</v>
      </c>
      <c r="M69" s="84">
        <f t="shared" si="81"/>
        <v>0.24181509662797931</v>
      </c>
      <c r="N69" s="84">
        <f t="shared" si="81"/>
        <v>0.25433875115654253</v>
      </c>
      <c r="O69" s="84">
        <f t="shared" si="81"/>
        <v>0.2657505822425294</v>
      </c>
      <c r="P69" s="84">
        <f t="shared" si="81"/>
        <v>0.27610834338990137</v>
      </c>
      <c r="Q69" s="84">
        <f t="shared" si="81"/>
        <v>0.28548169552269465</v>
      </c>
      <c r="R69" s="84">
        <f t="shared" si="81"/>
        <v>0.29394635534197616</v>
      </c>
      <c r="S69" s="84">
        <f t="shared" si="81"/>
        <v>0.30157974169117124</v>
      </c>
      <c r="T69" s="84">
        <f t="shared" si="81"/>
        <v>0.30845790683081054</v>
      </c>
      <c r="U69" s="84">
        <f t="shared" si="81"/>
        <v>0.31465350461492031</v>
      </c>
    </row>
    <row r="70" spans="2:22" s="81" customFormat="1" x14ac:dyDescent="0.2">
      <c r="B70" s="76" t="s">
        <v>359</v>
      </c>
      <c r="C70" s="79"/>
      <c r="D70" s="79"/>
      <c r="E70" s="84">
        <f t="shared" ref="E70:U70" si="82">+IFERROR(E67/E8,"n/a")</f>
        <v>-1.3126392476322937E-2</v>
      </c>
      <c r="F70" s="84">
        <f t="shared" si="82"/>
        <v>-8.7313997904706463E-3</v>
      </c>
      <c r="G70" s="84">
        <f t="shared" si="82"/>
        <v>3.4207806869180671E-3</v>
      </c>
      <c r="H70" s="84">
        <f t="shared" si="82"/>
        <v>1.7611030413546062E-2</v>
      </c>
      <c r="I70" s="84">
        <f t="shared" si="82"/>
        <v>2.5995817067306446E-2</v>
      </c>
      <c r="J70" s="84">
        <f t="shared" si="82"/>
        <v>3.8565002572752714E-2</v>
      </c>
      <c r="K70" s="84">
        <f t="shared" si="82"/>
        <v>2.9906024677935343E-2</v>
      </c>
      <c r="L70" s="84">
        <f t="shared" si="82"/>
        <v>3.2309496580188599E-2</v>
      </c>
      <c r="M70" s="84">
        <f t="shared" si="82"/>
        <v>3.2657058050913755E-2</v>
      </c>
      <c r="N70" s="84">
        <f t="shared" si="82"/>
        <v>3.29506871384697E-2</v>
      </c>
      <c r="O70" s="84">
        <f t="shared" si="82"/>
        <v>3.3200472572619683E-2</v>
      </c>
      <c r="P70" s="84">
        <f t="shared" si="82"/>
        <v>3.341435712584534E-2</v>
      </c>
      <c r="Q70" s="84">
        <f t="shared" si="82"/>
        <v>3.3598636064142505E-2</v>
      </c>
      <c r="R70" s="84">
        <f t="shared" si="82"/>
        <v>3.3758332023209263E-2</v>
      </c>
      <c r="S70" s="84">
        <f t="shared" si="82"/>
        <v>3.3897478592600491E-2</v>
      </c>
      <c r="T70" s="84">
        <f t="shared" si="82"/>
        <v>3.4019336060866281E-2</v>
      </c>
      <c r="U70" s="84">
        <f t="shared" si="82"/>
        <v>3.4126556468072257E-2</v>
      </c>
    </row>
    <row r="71" spans="2:22" x14ac:dyDescent="0.2">
      <c r="B71" s="94"/>
      <c r="C71" s="72"/>
      <c r="D71" s="72"/>
      <c r="E71" s="95"/>
      <c r="F71" s="72"/>
      <c r="G71" s="72"/>
      <c r="H71" s="72"/>
      <c r="I71" s="72"/>
      <c r="J71" s="72"/>
      <c r="K71" s="72"/>
      <c r="L71" s="72"/>
      <c r="M71" s="72"/>
      <c r="N71" s="72"/>
      <c r="O71" s="72"/>
      <c r="P71" s="72"/>
      <c r="Q71" s="72"/>
      <c r="R71" s="72"/>
      <c r="S71" s="72"/>
      <c r="T71" s="72"/>
      <c r="U71" s="72"/>
    </row>
    <row r="72" spans="2:22" x14ac:dyDescent="0.2">
      <c r="B72" s="71" t="s">
        <v>313</v>
      </c>
      <c r="C72" s="72"/>
      <c r="D72" s="72"/>
      <c r="E72" s="73">
        <f>-'Historical Financials'!AR77</f>
        <v>-1540.0990000000002</v>
      </c>
      <c r="F72" s="73">
        <f>-'Historical Financials'!AS77</f>
        <v>-2388.636</v>
      </c>
      <c r="G72" s="73">
        <f>-'Historical Financials'!AT77</f>
        <v>-3049.7179999999998</v>
      </c>
      <c r="H72" s="73">
        <f>-'Historical Financials'!AU77</f>
        <v>-3997.1</v>
      </c>
      <c r="I72" s="73">
        <f>-'Historical Financials'!AV77</f>
        <v>-10238.08</v>
      </c>
      <c r="J72" s="73">
        <f>-'Historical Financials'!AW77</f>
        <v>-20320.260999999999</v>
      </c>
      <c r="K72" s="72">
        <f t="shared" ref="K72:U72" si="83">+MAX((K73)*AVERAGE(J93:K93),0)</f>
        <v>0</v>
      </c>
      <c r="L72" s="72">
        <f t="shared" si="83"/>
        <v>0</v>
      </c>
      <c r="M72" s="72">
        <f t="shared" si="83"/>
        <v>0</v>
      </c>
      <c r="N72" s="72">
        <f t="shared" si="83"/>
        <v>0</v>
      </c>
      <c r="O72" s="72">
        <f t="shared" si="83"/>
        <v>0</v>
      </c>
      <c r="P72" s="72">
        <f t="shared" si="83"/>
        <v>0</v>
      </c>
      <c r="Q72" s="72">
        <f t="shared" si="83"/>
        <v>0</v>
      </c>
      <c r="R72" s="72">
        <f t="shared" si="83"/>
        <v>0</v>
      </c>
      <c r="S72" s="72">
        <f t="shared" si="83"/>
        <v>0</v>
      </c>
      <c r="T72" s="72">
        <f t="shared" si="83"/>
        <v>0</v>
      </c>
      <c r="U72" s="72">
        <f t="shared" si="83"/>
        <v>0</v>
      </c>
      <c r="V72" s="75"/>
    </row>
    <row r="73" spans="2:22" s="81" customFormat="1" x14ac:dyDescent="0.2">
      <c r="B73" s="82" t="s">
        <v>280</v>
      </c>
      <c r="C73" s="79"/>
      <c r="D73" s="79"/>
      <c r="E73" s="96" t="s">
        <v>281</v>
      </c>
      <c r="F73" s="96" t="s">
        <v>281</v>
      </c>
      <c r="G73" s="96" t="s">
        <v>281</v>
      </c>
      <c r="H73" s="96" t="s">
        <v>281</v>
      </c>
      <c r="I73" s="96" t="s">
        <v>281</v>
      </c>
      <c r="J73" s="96" t="s">
        <v>281</v>
      </c>
      <c r="K73" s="85">
        <v>0</v>
      </c>
      <c r="L73" s="85">
        <v>0</v>
      </c>
      <c r="M73" s="85">
        <v>0</v>
      </c>
      <c r="N73" s="85">
        <v>0</v>
      </c>
      <c r="O73" s="85">
        <v>0</v>
      </c>
      <c r="P73" s="85">
        <v>0</v>
      </c>
      <c r="Q73" s="85">
        <v>0</v>
      </c>
      <c r="R73" s="85">
        <v>0</v>
      </c>
      <c r="S73" s="85">
        <v>0</v>
      </c>
      <c r="T73" s="85">
        <v>0</v>
      </c>
      <c r="U73" s="85">
        <v>0</v>
      </c>
    </row>
    <row r="74" spans="2:22" s="81" customFormat="1" x14ac:dyDescent="0.2">
      <c r="B74" s="82"/>
      <c r="C74" s="79"/>
      <c r="D74" s="79"/>
      <c r="E74" s="96"/>
      <c r="F74" s="96"/>
      <c r="G74" s="96"/>
      <c r="H74" s="96"/>
      <c r="I74" s="96"/>
      <c r="J74" s="85"/>
      <c r="K74" s="85"/>
      <c r="L74" s="85"/>
      <c r="M74" s="85"/>
      <c r="N74" s="85"/>
      <c r="O74" s="85"/>
      <c r="P74" s="85"/>
      <c r="Q74" s="85"/>
      <c r="R74" s="85"/>
      <c r="S74" s="85"/>
      <c r="T74" s="85"/>
      <c r="U74" s="85"/>
    </row>
    <row r="75" spans="2:22" s="81" customFormat="1" x14ac:dyDescent="0.2">
      <c r="B75" s="135" t="s">
        <v>312</v>
      </c>
      <c r="C75" s="79"/>
      <c r="D75" s="79"/>
      <c r="E75" s="73">
        <f>+'Historical Financials'!AR78</f>
        <v>145.965</v>
      </c>
      <c r="F75" s="73">
        <f>+'Historical Financials'!AS78</f>
        <v>329.971</v>
      </c>
      <c r="G75" s="73">
        <f>+'Historical Financials'!AT78</f>
        <v>795.06999999999994</v>
      </c>
      <c r="H75" s="73">
        <f>+'Historical Financials'!AU78</f>
        <v>2293.288</v>
      </c>
      <c r="I75" s="73">
        <f>+'Historical Financials'!AV78</f>
        <v>3738.2670000000003</v>
      </c>
      <c r="J75" s="73">
        <f>+'Historical Financials'!AW78</f>
        <v>2645.9079999999999</v>
      </c>
      <c r="K75" s="73">
        <f>+'Historical Financials'!AX78</f>
        <v>2000</v>
      </c>
      <c r="L75" s="99">
        <v>1000</v>
      </c>
      <c r="M75" s="99">
        <v>1000</v>
      </c>
      <c r="N75" s="99">
        <v>1000</v>
      </c>
      <c r="O75" s="99">
        <v>1000</v>
      </c>
      <c r="P75" s="99">
        <v>1000</v>
      </c>
      <c r="Q75" s="99">
        <v>1000</v>
      </c>
      <c r="R75" s="99">
        <v>1000</v>
      </c>
      <c r="S75" s="99">
        <v>1000</v>
      </c>
      <c r="T75" s="99">
        <v>1000</v>
      </c>
      <c r="U75" s="99">
        <v>1000</v>
      </c>
    </row>
    <row r="76" spans="2:22" x14ac:dyDescent="0.2">
      <c r="C76" s="72"/>
      <c r="D76" s="72"/>
      <c r="E76" s="72"/>
      <c r="F76" s="72"/>
      <c r="G76" s="72"/>
      <c r="H76" s="72"/>
      <c r="I76" s="72"/>
      <c r="J76" s="72"/>
      <c r="K76" s="72"/>
      <c r="L76" s="72"/>
      <c r="M76" s="72"/>
      <c r="N76" s="72"/>
      <c r="O76" s="72"/>
      <c r="P76" s="72"/>
      <c r="Q76" s="72"/>
      <c r="R76" s="72"/>
      <c r="S76" s="72"/>
      <c r="T76" s="72"/>
      <c r="U76" s="72"/>
    </row>
    <row r="77" spans="2:22" x14ac:dyDescent="0.2">
      <c r="B77" s="61" t="s">
        <v>227</v>
      </c>
      <c r="C77" s="72"/>
      <c r="D77" s="72"/>
      <c r="E77" s="72">
        <f t="shared" ref="E77:T77" si="84">+MAX((E51-E81-E72+E75)*E78,0)</f>
        <v>0</v>
      </c>
      <c r="F77" s="72">
        <f t="shared" si="84"/>
        <v>0</v>
      </c>
      <c r="G77" s="72">
        <f t="shared" si="84"/>
        <v>2739.0952499999999</v>
      </c>
      <c r="H77" s="72">
        <f t="shared" si="84"/>
        <v>9356.538795000004</v>
      </c>
      <c r="I77" s="72">
        <f t="shared" si="84"/>
        <v>18532.152794999998</v>
      </c>
      <c r="J77" s="72">
        <f t="shared" si="84"/>
        <v>32471.887360689823</v>
      </c>
      <c r="K77" s="72">
        <f t="shared" si="84"/>
        <v>24148.887090802447</v>
      </c>
      <c r="L77" s="72">
        <f t="shared" si="84"/>
        <v>29503.578830877912</v>
      </c>
      <c r="M77" s="72">
        <f t="shared" si="84"/>
        <v>33908.02344261072</v>
      </c>
      <c r="N77" s="72">
        <f t="shared" si="84"/>
        <v>38658.429768142028</v>
      </c>
      <c r="O77" s="72">
        <f t="shared" si="84"/>
        <v>43746.597206426064</v>
      </c>
      <c r="P77" s="72">
        <f t="shared" si="84"/>
        <v>49160.344403930038</v>
      </c>
      <c r="Q77" s="72">
        <f t="shared" si="84"/>
        <v>54883.710582794491</v>
      </c>
      <c r="R77" s="72">
        <f t="shared" si="84"/>
        <v>60897.236430391422</v>
      </c>
      <c r="S77" s="72">
        <f t="shared" si="84"/>
        <v>67178.312048487729</v>
      </c>
      <c r="T77" s="72">
        <f t="shared" si="84"/>
        <v>73701.578091581599</v>
      </c>
      <c r="U77" s="72">
        <f t="shared" ref="U77" si="85">+MAX((U51-U81-U72+U75)*U78,0)</f>
        <v>80439.365598706718</v>
      </c>
    </row>
    <row r="78" spans="2:22" x14ac:dyDescent="0.2">
      <c r="B78" s="82" t="s">
        <v>280</v>
      </c>
      <c r="C78" s="72"/>
      <c r="D78" s="72"/>
      <c r="E78" s="85">
        <v>0.255</v>
      </c>
      <c r="F78" s="84">
        <f t="shared" ref="F78:U78" si="86">E78</f>
        <v>0.255</v>
      </c>
      <c r="G78" s="84">
        <f t="shared" si="86"/>
        <v>0.255</v>
      </c>
      <c r="H78" s="84">
        <f t="shared" si="86"/>
        <v>0.255</v>
      </c>
      <c r="I78" s="84">
        <f t="shared" si="86"/>
        <v>0.255</v>
      </c>
      <c r="J78" s="84">
        <f t="shared" si="86"/>
        <v>0.255</v>
      </c>
      <c r="K78" s="84">
        <f t="shared" si="86"/>
        <v>0.255</v>
      </c>
      <c r="L78" s="84">
        <f t="shared" si="86"/>
        <v>0.255</v>
      </c>
      <c r="M78" s="84">
        <f t="shared" si="86"/>
        <v>0.255</v>
      </c>
      <c r="N78" s="84">
        <f t="shared" si="86"/>
        <v>0.255</v>
      </c>
      <c r="O78" s="84">
        <f t="shared" si="86"/>
        <v>0.255</v>
      </c>
      <c r="P78" s="84">
        <f t="shared" si="86"/>
        <v>0.255</v>
      </c>
      <c r="Q78" s="84">
        <f t="shared" si="86"/>
        <v>0.255</v>
      </c>
      <c r="R78" s="84">
        <f t="shared" si="86"/>
        <v>0.255</v>
      </c>
      <c r="S78" s="84">
        <f t="shared" si="86"/>
        <v>0.255</v>
      </c>
      <c r="T78" s="84">
        <f t="shared" si="86"/>
        <v>0.255</v>
      </c>
      <c r="U78" s="84">
        <f t="shared" si="86"/>
        <v>0.255</v>
      </c>
    </row>
    <row r="79" spans="2:22" x14ac:dyDescent="0.2">
      <c r="C79" s="72"/>
      <c r="D79" s="72"/>
      <c r="E79" s="72"/>
      <c r="F79" s="72"/>
      <c r="G79" s="72"/>
      <c r="H79" s="72"/>
      <c r="I79" s="72"/>
      <c r="J79" s="72"/>
      <c r="K79" s="72"/>
      <c r="L79" s="72"/>
      <c r="M79" s="72"/>
      <c r="N79" s="72"/>
      <c r="O79" s="72"/>
      <c r="P79" s="72"/>
      <c r="Q79" s="72"/>
      <c r="R79" s="72"/>
      <c r="S79" s="72"/>
      <c r="T79" s="72"/>
      <c r="U79" s="72"/>
    </row>
    <row r="80" spans="2:22" x14ac:dyDescent="0.2">
      <c r="B80" s="97" t="s">
        <v>65</v>
      </c>
      <c r="C80" s="72"/>
      <c r="D80" s="72"/>
      <c r="E80" s="72"/>
      <c r="F80" s="72"/>
      <c r="G80" s="72"/>
      <c r="H80" s="72"/>
      <c r="I80" s="72"/>
      <c r="J80" s="72"/>
      <c r="K80" s="72"/>
      <c r="L80" s="72"/>
      <c r="M80" s="72"/>
      <c r="N80" s="72"/>
      <c r="O80" s="72"/>
      <c r="P80" s="72"/>
      <c r="Q80" s="72"/>
      <c r="R80" s="72"/>
      <c r="S80" s="72"/>
      <c r="T80" s="72"/>
      <c r="U80" s="72"/>
    </row>
    <row r="81" spans="2:23" s="81" customFormat="1" x14ac:dyDescent="0.2">
      <c r="B81" s="76" t="s">
        <v>217</v>
      </c>
      <c r="C81" s="79"/>
      <c r="D81" s="79"/>
      <c r="E81" s="98">
        <f>+'Historical Financials'!AR92</f>
        <v>637.83100000000002</v>
      </c>
      <c r="F81" s="98">
        <f>+'Historical Financials'!AS92</f>
        <v>651.52300000000002</v>
      </c>
      <c r="G81" s="98">
        <f>+'Historical Financials'!AT92</f>
        <v>1495.38</v>
      </c>
      <c r="H81" s="98">
        <f>+'Historical Financials'!AU92</f>
        <v>2224.1689999999999</v>
      </c>
      <c r="I81" s="98">
        <f>+'Historical Financials'!AV92</f>
        <v>786.23500000000001</v>
      </c>
      <c r="J81" s="98">
        <f>+'Historical Financials'!AW92</f>
        <v>1838.9082117189237</v>
      </c>
      <c r="K81" s="98">
        <f>+'Historical Financials'!AX92</f>
        <v>2065</v>
      </c>
      <c r="L81" s="79">
        <f t="shared" ref="L81:U81" si="87">+L82*L15</f>
        <v>2242.9056440715735</v>
      </c>
      <c r="M81" s="79">
        <f t="shared" si="87"/>
        <v>2436.0311474591831</v>
      </c>
      <c r="N81" s="79">
        <f t="shared" si="87"/>
        <v>2644.1765559186251</v>
      </c>
      <c r="O81" s="79">
        <f t="shared" si="87"/>
        <v>2866.9649337975061</v>
      </c>
      <c r="P81" s="79">
        <f t="shared" si="87"/>
        <v>3103.8477818496526</v>
      </c>
      <c r="Q81" s="79">
        <f t="shared" si="87"/>
        <v>3354.1142436832738</v>
      </c>
      <c r="R81" s="79">
        <f t="shared" si="87"/>
        <v>3616.9036462344234</v>
      </c>
      <c r="S81" s="79">
        <f t="shared" si="87"/>
        <v>3891.2208350507358</v>
      </c>
      <c r="T81" s="79">
        <f t="shared" si="87"/>
        <v>4175.9537117311893</v>
      </c>
      <c r="U81" s="79">
        <f t="shared" si="87"/>
        <v>4469.8923574174951</v>
      </c>
    </row>
    <row r="82" spans="2:23" s="81" customFormat="1" x14ac:dyDescent="0.2">
      <c r="B82" s="92" t="s">
        <v>94</v>
      </c>
      <c r="C82" s="79"/>
      <c r="D82" s="79"/>
      <c r="E82" s="84">
        <f t="shared" ref="E82:K82" si="88">+E81/E15</f>
        <v>2.116095190592918E-2</v>
      </c>
      <c r="F82" s="84">
        <f t="shared" si="88"/>
        <v>1.0951463700121017E-2</v>
      </c>
      <c r="G82" s="84">
        <f t="shared" si="88"/>
        <v>1.5916774570763691E-2</v>
      </c>
      <c r="H82" s="84">
        <f t="shared" si="88"/>
        <v>1.7035922745172627E-2</v>
      </c>
      <c r="I82" s="84">
        <f t="shared" si="88"/>
        <v>3.174921353830061E-3</v>
      </c>
      <c r="J82" s="84">
        <f t="shared" si="88"/>
        <v>4.6780095673776357E-3</v>
      </c>
      <c r="K82" s="84">
        <f t="shared" si="88"/>
        <v>4.5037474458694627E-3</v>
      </c>
      <c r="L82" s="85">
        <f t="shared" ref="L82:U82" si="89">+K82</f>
        <v>4.5037474458694627E-3</v>
      </c>
      <c r="M82" s="85">
        <f t="shared" si="89"/>
        <v>4.5037474458694627E-3</v>
      </c>
      <c r="N82" s="85">
        <f t="shared" si="89"/>
        <v>4.5037474458694627E-3</v>
      </c>
      <c r="O82" s="85">
        <f t="shared" si="89"/>
        <v>4.5037474458694627E-3</v>
      </c>
      <c r="P82" s="85">
        <f t="shared" si="89"/>
        <v>4.5037474458694627E-3</v>
      </c>
      <c r="Q82" s="85">
        <f t="shared" si="89"/>
        <v>4.5037474458694627E-3</v>
      </c>
      <c r="R82" s="85">
        <f t="shared" si="89"/>
        <v>4.5037474458694627E-3</v>
      </c>
      <c r="S82" s="85">
        <f t="shared" si="89"/>
        <v>4.5037474458694627E-3</v>
      </c>
      <c r="T82" s="85">
        <f t="shared" si="89"/>
        <v>4.5037474458694627E-3</v>
      </c>
      <c r="U82" s="85">
        <f t="shared" si="89"/>
        <v>4.5037474458694627E-3</v>
      </c>
    </row>
    <row r="83" spans="2:23" x14ac:dyDescent="0.2">
      <c r="C83" s="72"/>
      <c r="D83" s="72"/>
      <c r="E83" s="72"/>
      <c r="F83" s="72"/>
      <c r="G83" s="72"/>
      <c r="H83" s="72"/>
      <c r="I83" s="72"/>
      <c r="J83" s="72"/>
      <c r="K83" s="72"/>
      <c r="L83" s="72"/>
      <c r="M83" s="72"/>
      <c r="N83" s="72"/>
      <c r="O83" s="72"/>
      <c r="P83" s="72"/>
      <c r="Q83" s="72"/>
      <c r="R83" s="72"/>
      <c r="S83" s="72"/>
      <c r="T83" s="72"/>
      <c r="U83" s="72"/>
    </row>
    <row r="84" spans="2:23" hidden="1" outlineLevel="1" x14ac:dyDescent="0.2">
      <c r="B84" s="71" t="s">
        <v>99</v>
      </c>
      <c r="C84" s="72"/>
      <c r="D84" s="72"/>
      <c r="E84" s="73">
        <f>+'Historical Financials'!AR81</f>
        <v>28.675999999999998</v>
      </c>
      <c r="F84" s="73">
        <f>+'Historical Financials'!AS81</f>
        <v>83.653999999999996</v>
      </c>
      <c r="G84" s="73">
        <f>+'Historical Financials'!AT81</f>
        <v>246.828</v>
      </c>
      <c r="H84" s="73">
        <f>+'Historical Financials'!AU81</f>
        <v>-155.285</v>
      </c>
      <c r="I84" s="73">
        <f>+'Historical Financials'!AV81</f>
        <v>-4.7070000000000061</v>
      </c>
      <c r="J84" s="73">
        <f>+'Historical Financials'!AW81</f>
        <v>-149.5</v>
      </c>
      <c r="K84" s="73">
        <f>+'Historical Financials'!AX81</f>
        <v>-200</v>
      </c>
      <c r="L84" s="99">
        <v>0</v>
      </c>
      <c r="M84" s="99">
        <v>0</v>
      </c>
      <c r="N84" s="99">
        <v>0</v>
      </c>
      <c r="O84" s="99">
        <v>0</v>
      </c>
      <c r="P84" s="99">
        <v>0</v>
      </c>
      <c r="Q84" s="99">
        <v>0</v>
      </c>
      <c r="R84" s="99">
        <v>0</v>
      </c>
      <c r="S84" s="99">
        <v>0</v>
      </c>
      <c r="T84" s="99">
        <v>0</v>
      </c>
      <c r="U84" s="99">
        <v>0</v>
      </c>
    </row>
    <row r="85" spans="2:23" ht="10.15" hidden="1" outlineLevel="1" x14ac:dyDescent="0.2">
      <c r="C85" s="72"/>
      <c r="D85" s="72"/>
      <c r="E85" s="72"/>
      <c r="F85" s="72"/>
      <c r="G85" s="72"/>
      <c r="H85" s="72"/>
      <c r="I85" s="72"/>
      <c r="J85" s="72"/>
      <c r="K85" s="72"/>
      <c r="L85" s="72"/>
      <c r="M85" s="72"/>
      <c r="N85" s="72"/>
      <c r="O85" s="72"/>
      <c r="P85" s="72"/>
      <c r="Q85" s="72"/>
      <c r="R85" s="72"/>
      <c r="S85" s="72"/>
      <c r="T85" s="72"/>
      <c r="U85" s="72"/>
    </row>
    <row r="86" spans="2:23" collapsed="1" x14ac:dyDescent="0.2">
      <c r="B86" s="61" t="s">
        <v>228</v>
      </c>
      <c r="C86" s="72"/>
      <c r="D86" s="72"/>
      <c r="E86" s="72">
        <f t="shared" ref="E86:T86" si="90">E67-E72+E75-E77+E84</f>
        <v>-6213.076</v>
      </c>
      <c r="F86" s="72">
        <f t="shared" si="90"/>
        <v>-5969.5869999999995</v>
      </c>
      <c r="G86" s="72">
        <f t="shared" si="90"/>
        <v>6457.4307500000004</v>
      </c>
      <c r="H86" s="72">
        <f t="shared" si="90"/>
        <v>28768.938205000013</v>
      </c>
      <c r="I86" s="72">
        <f t="shared" si="90"/>
        <v>54340.605204999993</v>
      </c>
      <c r="J86" s="72">
        <f t="shared" si="90"/>
        <v>93830.195917870777</v>
      </c>
      <c r="K86" s="72">
        <f t="shared" si="90"/>
        <v>69354.630912344408</v>
      </c>
      <c r="L86" s="72">
        <f t="shared" si="90"/>
        <v>85112.749761256375</v>
      </c>
      <c r="M86" s="72">
        <f t="shared" si="90"/>
        <v>97887.300760540296</v>
      </c>
      <c r="N86" s="72">
        <f t="shared" si="90"/>
        <v>111665.34363450253</v>
      </c>
      <c r="O86" s="72">
        <f t="shared" si="90"/>
        <v>126423.10193475554</v>
      </c>
      <c r="P86" s="72">
        <f t="shared" si="90"/>
        <v>142125.25208681222</v>
      </c>
      <c r="Q86" s="72">
        <f t="shared" si="90"/>
        <v>158725.50713471137</v>
      </c>
      <c r="R86" s="72">
        <f t="shared" si="90"/>
        <v>176167.43131841562</v>
      </c>
      <c r="S86" s="72">
        <f t="shared" si="90"/>
        <v>194385.44921973633</v>
      </c>
      <c r="T86" s="72">
        <f t="shared" si="90"/>
        <v>213306.00923979102</v>
      </c>
      <c r="U86" s="72">
        <f t="shared" ref="U86" si="91">U67-U72+U75-U77+U84</f>
        <v>232848.85935555468</v>
      </c>
      <c r="W86" s="75"/>
    </row>
    <row r="87" spans="2:23" x14ac:dyDescent="0.2">
      <c r="B87" s="76" t="s">
        <v>85</v>
      </c>
      <c r="C87" s="72"/>
      <c r="D87" s="72"/>
      <c r="E87" s="83"/>
      <c r="F87" s="83">
        <f t="shared" ref="F87:U87" si="92">F86/E86-1</f>
        <v>-3.918976687231901E-2</v>
      </c>
      <c r="G87" s="83">
        <f t="shared" si="92"/>
        <v>-2.0817215244538696</v>
      </c>
      <c r="H87" s="83">
        <f t="shared" si="92"/>
        <v>3.4551679017231445</v>
      </c>
      <c r="I87" s="83">
        <f t="shared" si="92"/>
        <v>0.88886377445642561</v>
      </c>
      <c r="J87" s="83">
        <f t="shared" si="92"/>
        <v>0.72670502221858335</v>
      </c>
      <c r="K87" s="83">
        <f t="shared" si="92"/>
        <v>-0.26084955664964971</v>
      </c>
      <c r="L87" s="83">
        <f t="shared" si="92"/>
        <v>0.22721076648548899</v>
      </c>
      <c r="M87" s="83">
        <f t="shared" si="92"/>
        <v>0.15008974607349534</v>
      </c>
      <c r="N87" s="83">
        <f t="shared" si="92"/>
        <v>0.14075414039321776</v>
      </c>
      <c r="O87" s="83">
        <f t="shared" si="92"/>
        <v>0.13216059539974534</v>
      </c>
      <c r="P87" s="83">
        <f t="shared" si="92"/>
        <v>0.12420317103246092</v>
      </c>
      <c r="Q87" s="83">
        <f t="shared" si="92"/>
        <v>0.11680018015207794</v>
      </c>
      <c r="R87" s="83">
        <f t="shared" si="92"/>
        <v>0.1098873426115512</v>
      </c>
      <c r="S87" s="83">
        <f t="shared" si="92"/>
        <v>0.10341308699899443</v>
      </c>
      <c r="T87" s="83">
        <f t="shared" si="92"/>
        <v>9.7335269157243332E-2</v>
      </c>
      <c r="U87" s="83">
        <f t="shared" si="92"/>
        <v>9.1618844613956973E-2</v>
      </c>
    </row>
    <row r="88" spans="2:23" x14ac:dyDescent="0.2">
      <c r="C88" s="72"/>
      <c r="D88" s="72"/>
      <c r="E88" s="72"/>
      <c r="F88" s="72"/>
      <c r="G88" s="72"/>
      <c r="H88" s="72"/>
      <c r="I88" s="72"/>
      <c r="J88" s="72"/>
      <c r="K88" s="72"/>
      <c r="L88" s="72"/>
      <c r="M88" s="72"/>
      <c r="N88" s="72"/>
      <c r="O88" s="72"/>
      <c r="P88" s="72"/>
      <c r="Q88" s="72"/>
      <c r="R88" s="72"/>
      <c r="S88" s="72"/>
      <c r="T88" s="72"/>
      <c r="U88" s="72"/>
    </row>
    <row r="89" spans="2:23" x14ac:dyDescent="0.2">
      <c r="B89" s="61" t="s">
        <v>69</v>
      </c>
      <c r="C89" s="72"/>
      <c r="D89" s="72"/>
      <c r="E89" s="72">
        <f t="shared" ref="E89:J89" si="93">+-E50</f>
        <v>2557.7060000000001</v>
      </c>
      <c r="F89" s="72">
        <f t="shared" si="93"/>
        <v>3613.0429999999997</v>
      </c>
      <c r="G89" s="72">
        <f t="shared" si="93"/>
        <v>4774.7299999999996</v>
      </c>
      <c r="H89" s="72">
        <f t="shared" si="93"/>
        <v>7718.3649999999998</v>
      </c>
      <c r="I89" s="72">
        <f t="shared" si="93"/>
        <v>7078.7939999999999</v>
      </c>
      <c r="J89" s="72">
        <f t="shared" si="93"/>
        <v>10657.314</v>
      </c>
      <c r="K89" s="99">
        <v>0</v>
      </c>
      <c r="L89" s="99">
        <v>0</v>
      </c>
      <c r="M89" s="99">
        <v>0</v>
      </c>
      <c r="N89" s="99">
        <v>0</v>
      </c>
      <c r="O89" s="99">
        <v>0</v>
      </c>
      <c r="P89" s="99">
        <v>0</v>
      </c>
      <c r="Q89" s="99">
        <v>0</v>
      </c>
      <c r="R89" s="99">
        <v>0</v>
      </c>
      <c r="S89" s="99">
        <v>0</v>
      </c>
      <c r="T89" s="99">
        <v>0</v>
      </c>
      <c r="U89" s="99">
        <v>0</v>
      </c>
    </row>
    <row r="90" spans="2:23" ht="13.5" x14ac:dyDescent="0.35">
      <c r="B90" s="61" t="s">
        <v>96</v>
      </c>
      <c r="C90" s="72"/>
      <c r="D90" s="72"/>
      <c r="E90" s="100">
        <f t="shared" ref="E90:J90" si="94">+E91-E89-E86</f>
        <v>18448.91</v>
      </c>
      <c r="F90" s="100">
        <f t="shared" si="94"/>
        <v>30510.125</v>
      </c>
      <c r="G90" s="100">
        <f t="shared" si="94"/>
        <v>14263.61825</v>
      </c>
      <c r="H90" s="100">
        <f t="shared" si="94"/>
        <v>11384.840794999989</v>
      </c>
      <c r="I90" s="100">
        <f t="shared" si="94"/>
        <v>32159.252795000015</v>
      </c>
      <c r="J90" s="100">
        <f t="shared" si="94"/>
        <v>20053.309548519333</v>
      </c>
      <c r="K90" s="88">
        <f>+'Historical Financials'!AX111</f>
        <v>10000</v>
      </c>
      <c r="L90" s="89">
        <v>0</v>
      </c>
      <c r="M90" s="89">
        <v>0</v>
      </c>
      <c r="N90" s="89">
        <v>0</v>
      </c>
      <c r="O90" s="89">
        <v>0</v>
      </c>
      <c r="P90" s="89">
        <v>0</v>
      </c>
      <c r="Q90" s="89">
        <v>0</v>
      </c>
      <c r="R90" s="89">
        <v>0</v>
      </c>
      <c r="S90" s="89">
        <v>0</v>
      </c>
      <c r="T90" s="89">
        <v>0</v>
      </c>
      <c r="U90" s="89">
        <v>0</v>
      </c>
    </row>
    <row r="91" spans="2:23" x14ac:dyDescent="0.2">
      <c r="B91" s="90" t="s">
        <v>229</v>
      </c>
      <c r="C91" s="72"/>
      <c r="D91" s="72"/>
      <c r="E91" s="73">
        <f>+'Historical Financials'!AR112</f>
        <v>14793.539999999999</v>
      </c>
      <c r="F91" s="73">
        <f>+'Historical Financials'!AS112</f>
        <v>28153.581000000002</v>
      </c>
      <c r="G91" s="73">
        <f>+'Historical Financials'!AT112</f>
        <v>25495.778999999999</v>
      </c>
      <c r="H91" s="73">
        <f>+'Historical Financials'!AU112</f>
        <v>47872.144</v>
      </c>
      <c r="I91" s="73">
        <f>+'Historical Financials'!AV112</f>
        <v>93578.652000000002</v>
      </c>
      <c r="J91" s="73">
        <f>+'Historical Financials'!AW112</f>
        <v>124540.81946639011</v>
      </c>
      <c r="K91" s="72">
        <f t="shared" ref="K91:Q91" si="95">+K86+SUM(K89:K90)</f>
        <v>79354.630912344408</v>
      </c>
      <c r="L91" s="72">
        <f t="shared" si="95"/>
        <v>85112.749761256375</v>
      </c>
      <c r="M91" s="72">
        <f t="shared" si="95"/>
        <v>97887.300760540296</v>
      </c>
      <c r="N91" s="72">
        <f t="shared" si="95"/>
        <v>111665.34363450253</v>
      </c>
      <c r="O91" s="72">
        <f t="shared" si="95"/>
        <v>126423.10193475554</v>
      </c>
      <c r="P91" s="72">
        <f t="shared" si="95"/>
        <v>142125.25208681222</v>
      </c>
      <c r="Q91" s="72">
        <f t="shared" si="95"/>
        <v>158725.50713471137</v>
      </c>
      <c r="R91" s="72">
        <f t="shared" ref="R91:S91" si="96">+R86+SUM(R89:R90)</f>
        <v>176167.43131841562</v>
      </c>
      <c r="S91" s="72">
        <f t="shared" si="96"/>
        <v>194385.44921973633</v>
      </c>
      <c r="T91" s="72">
        <f t="shared" ref="T91:U91" si="97">+T86+SUM(T89:T90)</f>
        <v>213306.00923979102</v>
      </c>
      <c r="U91" s="72">
        <f t="shared" si="97"/>
        <v>232848.85935555468</v>
      </c>
    </row>
    <row r="92" spans="2:23" x14ac:dyDescent="0.2">
      <c r="B92" s="76"/>
      <c r="C92" s="72"/>
      <c r="D92" s="72"/>
      <c r="E92" s="72"/>
      <c r="F92" s="72"/>
      <c r="G92" s="72"/>
      <c r="H92" s="72"/>
      <c r="I92" s="72"/>
      <c r="J92" s="208"/>
      <c r="K92" s="72"/>
      <c r="L92" s="72"/>
      <c r="M92" s="72"/>
      <c r="N92" s="72"/>
      <c r="O92" s="72"/>
      <c r="P92" s="72"/>
      <c r="Q92" s="72"/>
      <c r="R92" s="72"/>
      <c r="S92" s="72"/>
      <c r="T92" s="72"/>
      <c r="U92" s="72"/>
    </row>
    <row r="93" spans="2:23" x14ac:dyDescent="0.2">
      <c r="B93" s="71" t="s">
        <v>310</v>
      </c>
      <c r="C93" s="72"/>
      <c r="D93" s="72"/>
      <c r="E93" s="73">
        <f>+'Historical Financials'!AR120+'Historical Financials'!AR122</f>
        <v>898.74799999999959</v>
      </c>
      <c r="F93" s="73">
        <f>+'Historical Financials'!AS120+'Historical Financials'!AS122</f>
        <v>1866.3160000000062</v>
      </c>
      <c r="G93" s="73">
        <f>+'Historical Financials'!AT120+'Historical Financials'!AT122</f>
        <v>0</v>
      </c>
      <c r="H93" s="73">
        <f>+'Historical Financials'!AU120+'Historical Financials'!AU122</f>
        <v>0</v>
      </c>
      <c r="I93" s="73">
        <f>+'Historical Financials'!AV120+'Historical Financials'!AV122</f>
        <v>0</v>
      </c>
      <c r="J93" s="73">
        <f>+'Historical Financials'!AW120+'Historical Financials'!AW122</f>
        <v>0</v>
      </c>
      <c r="K93" s="72">
        <f>+K95+K94</f>
        <v>0</v>
      </c>
      <c r="L93" s="72">
        <f t="shared" ref="L93:T93" si="98">+L95+L94</f>
        <v>0</v>
      </c>
      <c r="M93" s="72">
        <f t="shared" si="98"/>
        <v>0</v>
      </c>
      <c r="N93" s="72">
        <f t="shared" si="98"/>
        <v>0</v>
      </c>
      <c r="O93" s="72">
        <f t="shared" si="98"/>
        <v>0</v>
      </c>
      <c r="P93" s="72">
        <f>+P95+P94</f>
        <v>0</v>
      </c>
      <c r="Q93" s="72">
        <f t="shared" si="98"/>
        <v>0</v>
      </c>
      <c r="R93" s="72">
        <f t="shared" si="98"/>
        <v>0</v>
      </c>
      <c r="S93" s="72">
        <f t="shared" si="98"/>
        <v>0</v>
      </c>
      <c r="T93" s="72">
        <f t="shared" si="98"/>
        <v>0</v>
      </c>
      <c r="U93" s="72">
        <f t="shared" ref="U93" si="99">+U95+U94</f>
        <v>0</v>
      </c>
    </row>
    <row r="94" spans="2:23" ht="13.5" x14ac:dyDescent="0.35">
      <c r="B94" s="61" t="s">
        <v>233</v>
      </c>
      <c r="C94" s="72"/>
      <c r="D94" s="72"/>
      <c r="E94" s="88">
        <f>+'Historical Financials'!AR120</f>
        <v>41057.012999999999</v>
      </c>
      <c r="F94" s="88">
        <f>+'Historical Financials'!AS120</f>
        <v>86972.282999999996</v>
      </c>
      <c r="G94" s="88">
        <f>+'Historical Financials'!AT120</f>
        <v>92943.332999999999</v>
      </c>
      <c r="H94" s="88">
        <f>+'Historical Financials'!AU120</f>
        <v>149438.74600000001</v>
      </c>
      <c r="I94" s="88">
        <f>+'Historical Financials'!AV120</f>
        <v>217209.83399999997</v>
      </c>
      <c r="J94" s="88">
        <f>+'Historical Financials'!AW120</f>
        <v>341046.46446639008</v>
      </c>
      <c r="K94" s="89">
        <v>0</v>
      </c>
      <c r="L94" s="101">
        <f t="shared" ref="L94:U94" si="100">+K94</f>
        <v>0</v>
      </c>
      <c r="M94" s="101">
        <f t="shared" si="100"/>
        <v>0</v>
      </c>
      <c r="N94" s="101">
        <f t="shared" si="100"/>
        <v>0</v>
      </c>
      <c r="O94" s="101">
        <f t="shared" si="100"/>
        <v>0</v>
      </c>
      <c r="P94" s="101">
        <f t="shared" si="100"/>
        <v>0</v>
      </c>
      <c r="Q94" s="101">
        <f t="shared" si="100"/>
        <v>0</v>
      </c>
      <c r="R94" s="101">
        <f t="shared" si="100"/>
        <v>0</v>
      </c>
      <c r="S94" s="101">
        <f t="shared" si="100"/>
        <v>0</v>
      </c>
      <c r="T94" s="101">
        <f t="shared" si="100"/>
        <v>0</v>
      </c>
      <c r="U94" s="101">
        <f t="shared" si="100"/>
        <v>0</v>
      </c>
    </row>
    <row r="95" spans="2:23" x14ac:dyDescent="0.2">
      <c r="B95" s="132" t="s">
        <v>309</v>
      </c>
      <c r="C95" s="102"/>
      <c r="D95" s="102"/>
      <c r="E95" s="74">
        <f t="shared" ref="E95:J95" si="101">+E93-E94</f>
        <v>-40158.264999999999</v>
      </c>
      <c r="F95" s="74">
        <f t="shared" si="101"/>
        <v>-85105.96699999999</v>
      </c>
      <c r="G95" s="74">
        <f t="shared" si="101"/>
        <v>-92943.332999999999</v>
      </c>
      <c r="H95" s="74">
        <f t="shared" si="101"/>
        <v>-149438.74600000001</v>
      </c>
      <c r="I95" s="74">
        <f t="shared" si="101"/>
        <v>-217209.83399999997</v>
      </c>
      <c r="J95" s="74">
        <f t="shared" si="101"/>
        <v>-341046.46446639008</v>
      </c>
      <c r="K95" s="72">
        <f t="shared" ref="K95:T95" si="102">+K96*K33</f>
        <v>0</v>
      </c>
      <c r="L95" s="72">
        <f t="shared" si="102"/>
        <v>0</v>
      </c>
      <c r="M95" s="72">
        <f t="shared" si="102"/>
        <v>0</v>
      </c>
      <c r="N95" s="72">
        <f t="shared" si="102"/>
        <v>0</v>
      </c>
      <c r="O95" s="72">
        <f t="shared" si="102"/>
        <v>0</v>
      </c>
      <c r="P95" s="72">
        <f t="shared" si="102"/>
        <v>0</v>
      </c>
      <c r="Q95" s="72">
        <f t="shared" si="102"/>
        <v>0</v>
      </c>
      <c r="R95" s="72">
        <f t="shared" si="102"/>
        <v>0</v>
      </c>
      <c r="S95" s="72">
        <f t="shared" si="102"/>
        <v>0</v>
      </c>
      <c r="T95" s="72">
        <f t="shared" si="102"/>
        <v>0</v>
      </c>
      <c r="U95" s="72">
        <f t="shared" ref="U95" si="103">+U96*U33</f>
        <v>0</v>
      </c>
    </row>
    <row r="96" spans="2:23" s="81" customFormat="1" x14ac:dyDescent="0.2">
      <c r="B96" s="103" t="s">
        <v>282</v>
      </c>
      <c r="C96" s="79"/>
      <c r="D96" s="79"/>
      <c r="E96" s="104">
        <f t="shared" ref="E96:J96" si="104">+IFERROR(E95/E33,"n/a")</f>
        <v>7.5165104589948761</v>
      </c>
      <c r="F96" s="104">
        <f t="shared" si="104"/>
        <v>16.636039148834026</v>
      </c>
      <c r="G96" s="104">
        <f t="shared" si="104"/>
        <v>-7.0588772337120007</v>
      </c>
      <c r="H96" s="104">
        <f t="shared" si="104"/>
        <v>-3.7040715012757008</v>
      </c>
      <c r="I96" s="104">
        <f t="shared" si="104"/>
        <v>-3.26318304196346</v>
      </c>
      <c r="J96" s="104">
        <f t="shared" si="104"/>
        <v>-2.9181497825146048</v>
      </c>
      <c r="K96" s="105">
        <v>0</v>
      </c>
      <c r="L96" s="104">
        <f t="shared" ref="L96:U96" si="105">K96</f>
        <v>0</v>
      </c>
      <c r="M96" s="104">
        <f t="shared" si="105"/>
        <v>0</v>
      </c>
      <c r="N96" s="104">
        <f t="shared" si="105"/>
        <v>0</v>
      </c>
      <c r="O96" s="104">
        <f t="shared" si="105"/>
        <v>0</v>
      </c>
      <c r="P96" s="104">
        <f t="shared" si="105"/>
        <v>0</v>
      </c>
      <c r="Q96" s="104">
        <f t="shared" si="105"/>
        <v>0</v>
      </c>
      <c r="R96" s="104">
        <f t="shared" si="105"/>
        <v>0</v>
      </c>
      <c r="S96" s="104">
        <f t="shared" si="105"/>
        <v>0</v>
      </c>
      <c r="T96" s="104">
        <f t="shared" si="105"/>
        <v>0</v>
      </c>
      <c r="U96" s="104">
        <f t="shared" si="105"/>
        <v>0</v>
      </c>
    </row>
    <row r="97" spans="2:27" x14ac:dyDescent="0.2">
      <c r="B97" s="106"/>
      <c r="C97" s="72"/>
      <c r="D97" s="72"/>
      <c r="E97" s="72"/>
      <c r="F97" s="72"/>
      <c r="G97" s="72"/>
      <c r="H97" s="72"/>
      <c r="I97" s="72"/>
      <c r="J97" s="72"/>
      <c r="K97" s="72"/>
      <c r="L97" s="72"/>
      <c r="M97" s="72"/>
      <c r="N97" s="72"/>
      <c r="O97" s="72"/>
      <c r="P97" s="72"/>
      <c r="Q97" s="72"/>
      <c r="R97" s="72"/>
      <c r="S97" s="72"/>
      <c r="T97" s="72"/>
      <c r="U97" s="72"/>
    </row>
    <row r="98" spans="2:27" x14ac:dyDescent="0.2">
      <c r="B98" s="61" t="s">
        <v>283</v>
      </c>
      <c r="C98" s="72"/>
      <c r="D98" s="72"/>
      <c r="E98" s="99"/>
      <c r="F98" s="72"/>
      <c r="G98" s="72"/>
      <c r="H98" s="72"/>
      <c r="I98" s="72"/>
      <c r="J98" s="72"/>
      <c r="K98" s="72">
        <f t="shared" ref="K98:U98" si="106">K91+(K95-J95)</f>
        <v>420401.09537873452</v>
      </c>
      <c r="L98" s="72">
        <f t="shared" si="106"/>
        <v>85112.749761256375</v>
      </c>
      <c r="M98" s="72">
        <f t="shared" si="106"/>
        <v>97887.300760540296</v>
      </c>
      <c r="N98" s="72">
        <f t="shared" si="106"/>
        <v>111665.34363450253</v>
      </c>
      <c r="O98" s="72">
        <f t="shared" si="106"/>
        <v>126423.10193475554</v>
      </c>
      <c r="P98" s="72">
        <f t="shared" si="106"/>
        <v>142125.25208681222</v>
      </c>
      <c r="Q98" s="72">
        <f t="shared" si="106"/>
        <v>158725.50713471137</v>
      </c>
      <c r="R98" s="72">
        <f t="shared" si="106"/>
        <v>176167.43131841562</v>
      </c>
      <c r="S98" s="72">
        <f t="shared" si="106"/>
        <v>194385.44921973633</v>
      </c>
      <c r="T98" s="72">
        <f t="shared" si="106"/>
        <v>213306.00923979102</v>
      </c>
      <c r="U98" s="72">
        <f t="shared" si="106"/>
        <v>232848.85935555468</v>
      </c>
    </row>
    <row r="99" spans="2:27" x14ac:dyDescent="0.2">
      <c r="C99" s="72"/>
      <c r="D99" s="72"/>
      <c r="E99" s="72"/>
      <c r="F99" s="72"/>
      <c r="G99" s="72"/>
      <c r="H99" s="72"/>
      <c r="I99" s="72"/>
      <c r="J99" s="72"/>
      <c r="K99" s="72"/>
      <c r="L99" s="72"/>
      <c r="M99" s="72"/>
      <c r="N99" s="72"/>
      <c r="O99" s="72"/>
      <c r="P99" s="72"/>
      <c r="Q99" s="72"/>
      <c r="R99" s="72"/>
      <c r="S99" s="72"/>
      <c r="T99" s="72"/>
      <c r="U99" s="72"/>
    </row>
    <row r="100" spans="2:27" x14ac:dyDescent="0.2">
      <c r="B100" s="61" t="s">
        <v>284</v>
      </c>
      <c r="C100" s="72"/>
      <c r="D100" s="72"/>
      <c r="E100" s="72"/>
      <c r="F100" s="72"/>
      <c r="G100" s="72"/>
      <c r="H100" s="72"/>
      <c r="I100" s="72"/>
      <c r="J100" s="72"/>
      <c r="K100" s="72">
        <f t="shared" ref="K100:U100" si="107">J100+K98</f>
        <v>420401.09537873452</v>
      </c>
      <c r="L100" s="72">
        <f t="shared" si="107"/>
        <v>505513.84513999091</v>
      </c>
      <c r="M100" s="72">
        <f t="shared" si="107"/>
        <v>603401.14590053121</v>
      </c>
      <c r="N100" s="72">
        <f t="shared" si="107"/>
        <v>715066.4895350337</v>
      </c>
      <c r="O100" s="72">
        <f t="shared" si="107"/>
        <v>841489.59146978927</v>
      </c>
      <c r="P100" s="72">
        <f t="shared" si="107"/>
        <v>983614.84355660155</v>
      </c>
      <c r="Q100" s="72">
        <f t="shared" si="107"/>
        <v>1142340.3506913129</v>
      </c>
      <c r="R100" s="72">
        <f t="shared" si="107"/>
        <v>1318507.7820097285</v>
      </c>
      <c r="S100" s="72">
        <f t="shared" si="107"/>
        <v>1512893.2312294648</v>
      </c>
      <c r="T100" s="72">
        <f t="shared" si="107"/>
        <v>1726199.2404692557</v>
      </c>
      <c r="U100" s="72">
        <f t="shared" si="107"/>
        <v>1959048.0998248104</v>
      </c>
    </row>
    <row r="101" spans="2:27" s="81" customFormat="1" x14ac:dyDescent="0.2">
      <c r="B101" s="76" t="s">
        <v>285</v>
      </c>
      <c r="C101" s="79"/>
      <c r="D101" s="79"/>
      <c r="E101" s="80"/>
      <c r="F101" s="80"/>
      <c r="G101" s="80"/>
      <c r="H101" s="80"/>
      <c r="I101" s="107"/>
      <c r="J101" s="107"/>
      <c r="K101" s="107">
        <f t="shared" ref="K101:T101" si="108">K100/$E$124</f>
        <v>0.4019345023844374</v>
      </c>
      <c r="L101" s="107">
        <f t="shared" si="108"/>
        <v>0.48330857847013969</v>
      </c>
      <c r="M101" s="107">
        <f t="shared" si="108"/>
        <v>0.57689606897251033</v>
      </c>
      <c r="N101" s="107">
        <f t="shared" si="108"/>
        <v>0.68365638625210057</v>
      </c>
      <c r="O101" s="108">
        <f t="shared" si="108"/>
        <v>0.80452621062842722</v>
      </c>
      <c r="P101" s="107">
        <f t="shared" si="108"/>
        <v>0.94040845047443022</v>
      </c>
      <c r="Q101" s="107">
        <f t="shared" si="108"/>
        <v>1.0921617604139142</v>
      </c>
      <c r="R101" s="107">
        <f t="shared" si="108"/>
        <v>1.2605908383151552</v>
      </c>
      <c r="S101" s="107">
        <f t="shared" si="108"/>
        <v>1.4464376871025577</v>
      </c>
      <c r="T101" s="107">
        <f t="shared" si="108"/>
        <v>1.6503739889387075</v>
      </c>
      <c r="U101" s="107">
        <f t="shared" ref="U101" si="109">U100/$E$124</f>
        <v>1.8729946991239286</v>
      </c>
    </row>
    <row r="102" spans="2:27" x14ac:dyDescent="0.2">
      <c r="C102" s="72"/>
      <c r="D102" s="72"/>
      <c r="E102" s="72"/>
      <c r="F102" s="72"/>
      <c r="G102" s="72"/>
      <c r="H102" s="72"/>
      <c r="I102" s="72"/>
      <c r="J102" s="72"/>
      <c r="K102" s="72"/>
      <c r="L102" s="72"/>
      <c r="M102" s="72"/>
      <c r="N102" s="72"/>
      <c r="O102" s="72"/>
      <c r="P102" s="72"/>
      <c r="Q102" s="72"/>
      <c r="R102" s="72"/>
      <c r="S102" s="72"/>
      <c r="T102" s="72"/>
      <c r="U102" s="72"/>
    </row>
    <row r="103" spans="2:27" x14ac:dyDescent="0.2">
      <c r="B103" s="94" t="s">
        <v>286</v>
      </c>
      <c r="C103" s="72"/>
      <c r="D103" s="72"/>
      <c r="E103" s="72"/>
      <c r="F103" s="72"/>
      <c r="G103" s="72"/>
      <c r="H103" s="72"/>
      <c r="I103" s="72"/>
      <c r="J103" s="72"/>
      <c r="K103" s="72"/>
      <c r="L103" s="72"/>
      <c r="M103" s="72"/>
      <c r="N103" s="72"/>
      <c r="O103" s="72"/>
      <c r="P103" s="72"/>
      <c r="Q103" s="72"/>
      <c r="R103" s="72"/>
      <c r="S103" s="72"/>
      <c r="T103" s="72"/>
      <c r="U103" s="72"/>
    </row>
    <row r="104" spans="2:27" x14ac:dyDescent="0.2">
      <c r="B104" s="109" t="s">
        <v>287</v>
      </c>
      <c r="C104" s="72"/>
      <c r="D104" s="72"/>
      <c r="E104" s="110">
        <f>+$E$126/E15</f>
        <v>24.467033422114305</v>
      </c>
      <c r="F104" s="110">
        <f>+$E$126/F15</f>
        <v>12.396359269751574</v>
      </c>
      <c r="G104" s="110">
        <f>+$E$126/G15</f>
        <v>7.8497393400921665</v>
      </c>
      <c r="H104" s="110">
        <f>+$E$126/H15</f>
        <v>5.6487143935199295</v>
      </c>
      <c r="I104" s="110">
        <f t="shared" ref="I104:U104" si="110">+($E$124-I100+I95)/I15</f>
        <v>3.3465397781726822</v>
      </c>
      <c r="J104" s="110">
        <f t="shared" si="110"/>
        <v>1.7931937676776926</v>
      </c>
      <c r="K104" s="110">
        <f t="shared" si="110"/>
        <v>1.3643043771373891</v>
      </c>
      <c r="L104" s="110">
        <f t="shared" si="110"/>
        <v>1.0851826138446565</v>
      </c>
      <c r="M104" s="110">
        <f t="shared" si="110"/>
        <v>0.81817612666242778</v>
      </c>
      <c r="N104" s="110">
        <f t="shared" si="110"/>
        <v>0.56357432681095831</v>
      </c>
      <c r="O104" s="110">
        <f t="shared" si="110"/>
        <v>0.32118017530612891</v>
      </c>
      <c r="P104" s="110">
        <f t="shared" si="110"/>
        <v>9.0441309846318554E-2</v>
      </c>
      <c r="Q104" s="110">
        <f t="shared" si="110"/>
        <v>-0.12943612138907643</v>
      </c>
      <c r="R104" s="110">
        <f t="shared" si="110"/>
        <v>-0.33939448691754132</v>
      </c>
      <c r="S104" s="110">
        <f t="shared" si="110"/>
        <v>-0.54045252552572531</v>
      </c>
      <c r="T104" s="110">
        <f t="shared" si="110"/>
        <v>-0.73365193521594807</v>
      </c>
      <c r="U104" s="110">
        <f t="shared" si="110"/>
        <v>-0.92001968923385014</v>
      </c>
    </row>
    <row r="105" spans="2:27" x14ac:dyDescent="0.2">
      <c r="B105" s="111" t="s">
        <v>445</v>
      </c>
      <c r="C105" s="72"/>
      <c r="D105" s="72"/>
      <c r="E105" s="110">
        <f>+$E$126/(E11*0.8)</f>
        <v>30.583791777642883</v>
      </c>
      <c r="F105" s="110">
        <f>+$E$126/(F11*0.8)</f>
        <v>17.153566874778573</v>
      </c>
      <c r="G105" s="110">
        <f>+$E$126/(G11*0.8)</f>
        <v>10.632205543089997</v>
      </c>
      <c r="H105" s="110">
        <f>+$E$126/(H11*0.8)</f>
        <v>7.0959183803039636</v>
      </c>
      <c r="I105" s="110">
        <f>+$E$126/(I11*0.8)</f>
        <v>4.6993636883525474</v>
      </c>
      <c r="J105" s="110">
        <f t="shared" ref="J105:U105" si="111">+($E$124-J100+J95)/(J11*0.8)</f>
        <v>3.6091331219305638</v>
      </c>
      <c r="K105" s="110">
        <f t="shared" si="111"/>
        <v>2.9056482221727653</v>
      </c>
      <c r="L105" s="110">
        <f t="shared" si="111"/>
        <v>2.1889824830362952</v>
      </c>
      <c r="M105" s="110">
        <f t="shared" si="111"/>
        <v>1.5738143288762914</v>
      </c>
      <c r="N105" s="110">
        <f t="shared" si="111"/>
        <v>1.0399589245776248</v>
      </c>
      <c r="O105" s="110">
        <f t="shared" si="111"/>
        <v>0.57152050387268061</v>
      </c>
      <c r="P105" s="110">
        <f t="shared" si="111"/>
        <v>0.1558954598565068</v>
      </c>
      <c r="Q105" s="110">
        <f t="shared" si="111"/>
        <v>-0.21697610808798334</v>
      </c>
      <c r="R105" s="110">
        <f t="shared" si="111"/>
        <v>-0.55517605710708762</v>
      </c>
      <c r="S105" s="110">
        <f t="shared" si="111"/>
        <v>-0.86523847875306559</v>
      </c>
      <c r="T105" s="110">
        <f t="shared" si="111"/>
        <v>-1.152479045964983</v>
      </c>
      <c r="U105" s="110">
        <f t="shared" si="111"/>
        <v>-1.4212486355284231</v>
      </c>
    </row>
    <row r="106" spans="2:27" x14ac:dyDescent="0.2">
      <c r="B106" s="111" t="s">
        <v>288</v>
      </c>
      <c r="C106" s="72"/>
      <c r="D106" s="72"/>
      <c r="E106" s="110">
        <f>+$E$126/E51</f>
        <v>-93.347729117784098</v>
      </c>
      <c r="F106" s="110">
        <f>+$E$126/F51</f>
        <v>-84.488401978594467</v>
      </c>
      <c r="G106" s="110">
        <f>+$E$126/G51</f>
        <v>87.877747083826662</v>
      </c>
      <c r="H106" s="110">
        <f>+$E$126/H51</f>
        <v>22.604073370960446</v>
      </c>
      <c r="I106" s="110">
        <f t="shared" ref="I106:T106" si="112">+($E$124-I100+I95)/I51</f>
        <v>13.931823013583735</v>
      </c>
      <c r="J106" s="110">
        <f t="shared" si="112"/>
        <v>6.6366139193395082</v>
      </c>
      <c r="K106" s="110">
        <f t="shared" si="112"/>
        <v>6.6008881825546517</v>
      </c>
      <c r="L106" s="110">
        <f t="shared" si="112"/>
        <v>4.6213065035215211</v>
      </c>
      <c r="M106" s="110">
        <f t="shared" si="112"/>
        <v>3.2925192352282466</v>
      </c>
      <c r="N106" s="110">
        <f t="shared" si="112"/>
        <v>2.1591303705329743</v>
      </c>
      <c r="O106" s="110">
        <f t="shared" si="112"/>
        <v>1.1789415426346779</v>
      </c>
      <c r="P106" s="110">
        <f t="shared" si="112"/>
        <v>0.31981936809130024</v>
      </c>
      <c r="Q106" s="110">
        <f t="shared" si="112"/>
        <v>-0.44302848856543842</v>
      </c>
      <c r="R106" s="110">
        <f t="shared" si="112"/>
        <v>-1.1289564448123446</v>
      </c>
      <c r="S106" s="110">
        <f t="shared" si="112"/>
        <v>-1.7532353127186555</v>
      </c>
      <c r="T106" s="110">
        <f t="shared" si="112"/>
        <v>-2.3280317655664526</v>
      </c>
      <c r="U106" s="110">
        <f t="shared" ref="U106" si="113">+($E$124-U100+U95)/U51</f>
        <v>-2.8631269280372611</v>
      </c>
    </row>
    <row r="107" spans="2:27" x14ac:dyDescent="0.2">
      <c r="B107" s="111" t="s">
        <v>289</v>
      </c>
      <c r="C107" s="72"/>
      <c r="D107" s="72"/>
      <c r="E107" s="110">
        <f>+$E$126/E67</f>
        <v>-93.024678192273782</v>
      </c>
      <c r="F107" s="110">
        <f>+$E$126/F67</f>
        <v>-84.073792907441998</v>
      </c>
      <c r="G107" s="110">
        <f>+$E$126/G67</f>
        <v>144.46533477917521</v>
      </c>
      <c r="H107" s="110">
        <f>+$E$126/H67</f>
        <v>23.053263840165133</v>
      </c>
      <c r="I107" s="110">
        <f t="shared" ref="I107:T107" si="114">+($E$124-I100+I95)/I67</f>
        <v>14.069927334275038</v>
      </c>
      <c r="J107" s="110">
        <f t="shared" si="114"/>
        <v>6.8115668726390268</v>
      </c>
      <c r="K107" s="110">
        <f t="shared" si="114"/>
        <v>6.8213652257851098</v>
      </c>
      <c r="L107" s="110">
        <f t="shared" si="114"/>
        <v>4.7566264965983294</v>
      </c>
      <c r="M107" s="110">
        <f t="shared" si="114"/>
        <v>3.3834782777071677</v>
      </c>
      <c r="N107" s="110">
        <f t="shared" si="114"/>
        <v>2.2158413700163408</v>
      </c>
      <c r="O107" s="110">
        <f t="shared" si="114"/>
        <v>1.2085775037475301</v>
      </c>
      <c r="P107" s="110">
        <f t="shared" si="114"/>
        <v>0.32755732309980762</v>
      </c>
      <c r="Q107" s="110">
        <f t="shared" si="114"/>
        <v>-0.45339551858864019</v>
      </c>
      <c r="R107" s="110">
        <f t="shared" si="114"/>
        <v>-1.1546136931097206</v>
      </c>
      <c r="S107" s="110">
        <f t="shared" si="114"/>
        <v>-1.7920717170690086</v>
      </c>
      <c r="T107" s="110">
        <f t="shared" si="114"/>
        <v>-2.378450734992366</v>
      </c>
      <c r="U107" s="110">
        <f t="shared" ref="U107" si="115">+($E$124-U100+U95)/U67</f>
        <v>-2.9239136883594856</v>
      </c>
    </row>
    <row r="108" spans="2:27" x14ac:dyDescent="0.2">
      <c r="B108" s="109" t="s">
        <v>290</v>
      </c>
      <c r="C108" s="72"/>
      <c r="D108" s="72"/>
      <c r="E108" s="110">
        <f>($E$124)/(E51-E81-E72+E75-E77+E84)</f>
        <v>-153.28625038013047</v>
      </c>
      <c r="F108" s="110">
        <f>($E$124)/(F51-F81-F72+F75-F77+F84)</f>
        <v>-159.00488109686367</v>
      </c>
      <c r="G108" s="110">
        <f>($E$124)/(G51-G81-G72+G75-G77+G84)</f>
        <v>126.79214858619792</v>
      </c>
      <c r="H108" s="110">
        <f>($E$124)/(H51-H81-H72+H75-H77+H84)</f>
        <v>38.481442707106332</v>
      </c>
      <c r="I108" s="110">
        <f t="shared" ref="I108:T108" si="116">($E$124-I$100)/(I51-I81-I72+I75-I77+I84)</f>
        <v>19.31987641874019</v>
      </c>
      <c r="J108" s="110">
        <f t="shared" si="116"/>
        <v>11.042562190518854</v>
      </c>
      <c r="K108" s="110">
        <f t="shared" si="116"/>
        <v>8.8915393877482405</v>
      </c>
      <c r="L108" s="110">
        <f t="shared" si="116"/>
        <v>6.2697324722768633</v>
      </c>
      <c r="M108" s="110">
        <f t="shared" si="116"/>
        <v>4.467216947844161</v>
      </c>
      <c r="N108" s="110">
        <f t="shared" si="116"/>
        <v>2.9295932092908465</v>
      </c>
      <c r="O108" s="110">
        <f t="shared" si="116"/>
        <v>1.59969325377549</v>
      </c>
      <c r="P108" s="110">
        <f t="shared" si="116"/>
        <v>0.43397251016335864</v>
      </c>
      <c r="Q108" s="110">
        <f t="shared" si="116"/>
        <v>-0.60117339819703353</v>
      </c>
      <c r="R108" s="110">
        <f t="shared" si="116"/>
        <v>-1.5319832509627689</v>
      </c>
      <c r="S108" s="110">
        <f t="shared" si="116"/>
        <v>-2.3791631289119475</v>
      </c>
      <c r="T108" s="110">
        <f t="shared" si="116"/>
        <v>-3.1592124728330839</v>
      </c>
      <c r="U108" s="110">
        <f t="shared" ref="U108" si="117">($E$124-U$100)/(U51-U81-U72+U75-U77+U84)</f>
        <v>-3.8853972504225802</v>
      </c>
      <c r="Y108" s="61">
        <v>18.18256050794448</v>
      </c>
    </row>
    <row r="109" spans="2:27" x14ac:dyDescent="0.2">
      <c r="B109" s="111" t="s">
        <v>291</v>
      </c>
      <c r="C109" s="72"/>
      <c r="D109" s="72"/>
      <c r="E109" s="110">
        <f>($E$124)/E86</f>
        <v>-168.34564459980197</v>
      </c>
      <c r="F109" s="110">
        <f t="shared" ref="F109:H109" si="118">($E$124)/F86</f>
        <v>-175.21216864207847</v>
      </c>
      <c r="G109" s="110">
        <f t="shared" si="118"/>
        <v>161.97530018692947</v>
      </c>
      <c r="H109" s="110">
        <f t="shared" si="118"/>
        <v>36.356721847515914</v>
      </c>
      <c r="I109" s="110">
        <f t="shared" ref="I109:T109" si="119">($E$124-I$100)/I86</f>
        <v>19.247932190334158</v>
      </c>
      <c r="J109" s="110">
        <f t="shared" si="119"/>
        <v>11.147203455517351</v>
      </c>
      <c r="K109" s="110">
        <f t="shared" si="119"/>
        <v>9.019486955087876</v>
      </c>
      <c r="L109" s="110">
        <f t="shared" si="119"/>
        <v>6.3495826482341444</v>
      </c>
      <c r="M109" s="110">
        <f t="shared" si="119"/>
        <v>4.520945360926973</v>
      </c>
      <c r="N109" s="110">
        <f t="shared" si="119"/>
        <v>2.9631198352421531</v>
      </c>
      <c r="O109" s="110">
        <f t="shared" si="119"/>
        <v>1.6172257251153748</v>
      </c>
      <c r="P109" s="110">
        <f t="shared" si="119"/>
        <v>0.43855289398456743</v>
      </c>
      <c r="Q109" s="110">
        <f t="shared" si="119"/>
        <v>-0.60731301643876134</v>
      </c>
      <c r="R109" s="110">
        <f t="shared" si="119"/>
        <v>-1.5471843791008202</v>
      </c>
      <c r="S109" s="110">
        <f t="shared" si="119"/>
        <v>-2.4021805589679666</v>
      </c>
      <c r="T109" s="110">
        <f t="shared" si="119"/>
        <v>-3.189103573434624</v>
      </c>
      <c r="U109" s="110">
        <f t="shared" ref="U109" si="120">($E$124-U$100)/U86</f>
        <v>-3.9214442286056608</v>
      </c>
      <c r="V109" s="112"/>
      <c r="W109" s="112"/>
      <c r="X109" s="112"/>
      <c r="Y109" s="112">
        <v>18.42067147348574</v>
      </c>
      <c r="AA109" s="112"/>
    </row>
    <row r="110" spans="2:27" x14ac:dyDescent="0.2">
      <c r="B110" s="218" t="s">
        <v>455</v>
      </c>
      <c r="C110" s="72"/>
      <c r="D110" s="72"/>
      <c r="E110" s="110"/>
      <c r="F110" s="110"/>
      <c r="G110" s="110"/>
      <c r="H110" s="110"/>
      <c r="I110" s="110"/>
      <c r="J110" s="104">
        <f>$F$122/_xll.ciqfunctions.udf.CIQ("PDD", "IQ_EPS_EST", J$1, , , , "USD")</f>
        <v>8.6422021389606218</v>
      </c>
      <c r="K110" s="104">
        <f>$F$122/_xll.ciqfunctions.udf.CIQ("PDD", "IQ_EPS_EST", K$1, , , , "USD")</f>
        <v>7.9127930095258643</v>
      </c>
      <c r="L110" s="104">
        <f>$F$122/_xll.ciqfunctions.udf.CIQ("PDD", "IQ_EPS_EST", L$1, , , , "USD")</f>
        <v>6.5619310574390539</v>
      </c>
      <c r="M110" s="110"/>
      <c r="N110" s="110"/>
      <c r="O110" s="110"/>
      <c r="P110" s="110"/>
      <c r="Q110" s="110"/>
      <c r="R110" s="110"/>
      <c r="S110" s="110"/>
      <c r="T110" s="110"/>
      <c r="U110" s="110"/>
      <c r="V110" s="112"/>
      <c r="W110" s="112"/>
      <c r="X110" s="112"/>
      <c r="Y110" s="112"/>
      <c r="AA110" s="112"/>
    </row>
    <row r="111" spans="2:27" x14ac:dyDescent="0.2">
      <c r="C111" s="72"/>
      <c r="D111" s="72"/>
      <c r="E111" s="72"/>
      <c r="F111" s="72"/>
      <c r="G111" s="72"/>
      <c r="H111" s="72"/>
      <c r="I111" s="72"/>
      <c r="J111" s="110"/>
      <c r="K111" s="72"/>
      <c r="L111" s="72"/>
      <c r="M111" s="72"/>
    </row>
    <row r="112" spans="2:27" x14ac:dyDescent="0.2">
      <c r="B112" s="94" t="s">
        <v>292</v>
      </c>
      <c r="C112" s="72"/>
      <c r="D112" s="72"/>
      <c r="E112" s="72"/>
      <c r="F112" s="72"/>
      <c r="G112" s="72"/>
      <c r="H112" s="72"/>
      <c r="I112" s="72"/>
      <c r="J112" s="72"/>
      <c r="K112" s="72"/>
      <c r="L112" s="72"/>
      <c r="M112" s="72"/>
    </row>
    <row r="113" spans="2:32" ht="13.5" x14ac:dyDescent="0.35">
      <c r="B113" s="61" t="s">
        <v>293</v>
      </c>
      <c r="C113" s="72"/>
      <c r="D113" s="72"/>
      <c r="E113" s="72"/>
      <c r="F113" s="72"/>
      <c r="G113" s="72"/>
      <c r="H113" s="72"/>
      <c r="I113" s="72"/>
      <c r="J113" s="72"/>
      <c r="K113" s="72"/>
      <c r="L113" s="113"/>
      <c r="M113" s="113"/>
      <c r="N113" s="113"/>
      <c r="O113" s="113"/>
      <c r="P113" s="113"/>
      <c r="Q113" s="113"/>
      <c r="R113" s="113"/>
      <c r="S113" s="113"/>
      <c r="T113" s="113">
        <v>15</v>
      </c>
    </row>
    <row r="114" spans="2:32" x14ac:dyDescent="0.2">
      <c r="B114" s="61" t="s">
        <v>294</v>
      </c>
      <c r="C114" s="72"/>
      <c r="D114" s="72"/>
      <c r="E114" s="72"/>
      <c r="F114" s="72"/>
      <c r="G114" s="72"/>
      <c r="H114" s="72"/>
      <c r="I114" s="72"/>
      <c r="J114" s="72"/>
      <c r="K114" s="72"/>
      <c r="L114" s="72"/>
      <c r="M114" s="72"/>
      <c r="N114" s="72"/>
      <c r="O114" s="72"/>
      <c r="P114" s="72"/>
      <c r="Q114" s="72"/>
      <c r="R114" s="72"/>
      <c r="S114" s="72"/>
      <c r="T114" s="72">
        <f>T113*(U86)</f>
        <v>3492732.89033332</v>
      </c>
    </row>
    <row r="115" spans="2:32" ht="13.5" x14ac:dyDescent="0.35">
      <c r="C115" s="72"/>
      <c r="D115" s="72"/>
      <c r="E115" s="72"/>
      <c r="F115" s="72"/>
      <c r="G115" s="72"/>
      <c r="H115" s="72"/>
      <c r="I115" s="72"/>
      <c r="J115" s="72"/>
      <c r="K115" s="72"/>
      <c r="L115" s="72"/>
      <c r="M115" s="72"/>
      <c r="N115" s="114"/>
      <c r="O115" s="114"/>
      <c r="P115" s="114"/>
      <c r="Q115" s="114"/>
      <c r="R115" s="114"/>
      <c r="S115" s="114"/>
      <c r="T115" s="114"/>
      <c r="U115" s="114" t="s">
        <v>295</v>
      </c>
    </row>
    <row r="116" spans="2:32" x14ac:dyDescent="0.2">
      <c r="B116" s="61" t="s">
        <v>296</v>
      </c>
      <c r="C116" s="72"/>
      <c r="D116" s="72"/>
      <c r="E116" s="72"/>
      <c r="F116" s="72"/>
      <c r="G116" s="72"/>
      <c r="H116" s="72"/>
      <c r="I116" s="72"/>
      <c r="J116" s="72">
        <f>-E124</f>
        <v>-1045944.2841675592</v>
      </c>
      <c r="K116" s="72">
        <f>+K98</f>
        <v>420401.09537873452</v>
      </c>
      <c r="L116" s="72">
        <f t="shared" ref="L116:S116" si="121">L98</f>
        <v>85112.749761256375</v>
      </c>
      <c r="M116" s="72">
        <f t="shared" si="121"/>
        <v>97887.300760540296</v>
      </c>
      <c r="N116" s="72">
        <f t="shared" si="121"/>
        <v>111665.34363450253</v>
      </c>
      <c r="O116" s="72">
        <f t="shared" si="121"/>
        <v>126423.10193475554</v>
      </c>
      <c r="P116" s="72">
        <f t="shared" si="121"/>
        <v>142125.25208681222</v>
      </c>
      <c r="Q116" s="72">
        <f t="shared" si="121"/>
        <v>158725.50713471137</v>
      </c>
      <c r="R116" s="72">
        <f t="shared" si="121"/>
        <v>176167.43131841562</v>
      </c>
      <c r="S116" s="72">
        <f t="shared" si="121"/>
        <v>194385.44921973633</v>
      </c>
      <c r="T116" s="72">
        <f>T114+T98</f>
        <v>3706038.899573111</v>
      </c>
      <c r="U116" s="72">
        <f>+SUM(K116:T116)</f>
        <v>5218932.1308025755</v>
      </c>
    </row>
    <row r="117" spans="2:32" x14ac:dyDescent="0.2">
      <c r="C117" s="72"/>
      <c r="D117" s="72"/>
      <c r="E117" s="72"/>
      <c r="F117" s="72"/>
      <c r="G117" s="72"/>
      <c r="H117" s="72"/>
      <c r="I117" s="72"/>
      <c r="J117" s="72"/>
      <c r="K117" s="72"/>
      <c r="M117" s="115"/>
      <c r="N117" s="115"/>
      <c r="O117" s="115"/>
      <c r="P117" s="115"/>
      <c r="Q117" s="115"/>
      <c r="R117" s="115"/>
      <c r="S117" s="115"/>
      <c r="T117" s="115" t="s">
        <v>297</v>
      </c>
      <c r="U117" s="110">
        <f>+U116/-J116</f>
        <v>4.9896846417170222</v>
      </c>
    </row>
    <row r="118" spans="2:32" x14ac:dyDescent="0.2">
      <c r="B118" s="116" t="s">
        <v>298</v>
      </c>
      <c r="C118" s="117"/>
      <c r="D118" s="117"/>
      <c r="E118" s="117"/>
      <c r="F118" s="118">
        <f>XIRR(J116:T116,J7:T7)</f>
        <v>0.25119473338127141</v>
      </c>
      <c r="G118" s="72"/>
      <c r="H118" s="119"/>
      <c r="I118" s="72"/>
      <c r="J118" s="72"/>
      <c r="K118" s="72"/>
      <c r="L118" s="72"/>
      <c r="M118" s="72"/>
      <c r="Y118" s="61">
        <v>0.20286793112754822</v>
      </c>
      <c r="Z118" s="209">
        <f>+Y118-F118</f>
        <v>-4.8326802253723183E-2</v>
      </c>
    </row>
    <row r="119" spans="2:32" x14ac:dyDescent="0.2">
      <c r="C119" s="72"/>
      <c r="D119" s="72"/>
      <c r="E119" s="72"/>
      <c r="F119" s="72"/>
      <c r="G119" s="72"/>
      <c r="H119" s="72"/>
      <c r="I119" s="72"/>
      <c r="J119" s="72"/>
      <c r="K119" s="72"/>
      <c r="L119" s="72"/>
      <c r="M119" s="72"/>
    </row>
    <row r="120" spans="2:32" x14ac:dyDescent="0.2">
      <c r="B120" s="120" t="s">
        <v>299</v>
      </c>
      <c r="C120" s="121"/>
      <c r="D120" s="121"/>
      <c r="E120" s="121"/>
      <c r="F120" s="122"/>
      <c r="G120" s="72"/>
      <c r="H120" s="72"/>
      <c r="I120" s="72"/>
      <c r="J120" s="72"/>
      <c r="K120" s="72"/>
      <c r="L120" s="72"/>
      <c r="M120" s="72"/>
    </row>
    <row r="121" spans="2:32" ht="13.5" x14ac:dyDescent="0.35">
      <c r="C121" s="72"/>
      <c r="D121" s="72"/>
      <c r="E121" s="114" t="s">
        <v>300</v>
      </c>
      <c r="F121" s="114" t="s">
        <v>304</v>
      </c>
      <c r="G121" s="72"/>
      <c r="H121" s="72"/>
      <c r="I121" s="72"/>
      <c r="J121" s="72"/>
      <c r="K121" s="72"/>
      <c r="L121" s="72"/>
      <c r="M121" s="72"/>
    </row>
    <row r="122" spans="2:32" s="129" customFormat="1" x14ac:dyDescent="0.2">
      <c r="B122" s="71" t="s">
        <v>305</v>
      </c>
      <c r="C122" s="130"/>
      <c r="D122" s="130"/>
      <c r="E122" s="72">
        <f>+F122*F128</f>
        <v>143297.70576749998</v>
      </c>
      <c r="F122" s="123">
        <v>96.99</v>
      </c>
      <c r="G122" s="130"/>
      <c r="H122" s="130"/>
      <c r="I122" s="130"/>
      <c r="J122" s="130"/>
      <c r="K122" s="130"/>
      <c r="L122" s="130"/>
      <c r="M122" s="130"/>
    </row>
    <row r="123" spans="2:32" s="129" customFormat="1" ht="13.5" x14ac:dyDescent="0.35">
      <c r="B123" s="71" t="s">
        <v>307</v>
      </c>
      <c r="C123" s="130"/>
      <c r="D123" s="130"/>
      <c r="E123" s="134">
        <f>+E124/E122</f>
        <v>7.299100000000001</v>
      </c>
      <c r="F123" s="277" cm="1">
        <f t="array" ref="F123">_xll.ciqfunctions.udf.CIQ("$CNYUSD","IQ_LASTSALEPRICE",$U$2)</f>
        <v>7.2991000000000001</v>
      </c>
      <c r="G123" s="130"/>
      <c r="H123" s="130"/>
      <c r="I123" s="130"/>
      <c r="J123" s="130"/>
      <c r="K123" s="130"/>
      <c r="L123" s="130"/>
      <c r="M123" s="130"/>
    </row>
    <row r="124" spans="2:32" x14ac:dyDescent="0.2">
      <c r="B124" s="132" t="s">
        <v>308</v>
      </c>
      <c r="C124" s="72"/>
      <c r="D124" s="72"/>
      <c r="E124" s="72">
        <f>F124*F$128</f>
        <v>1045944.2841675592</v>
      </c>
      <c r="F124" s="133">
        <f>+F122*F123</f>
        <v>707.93970899999999</v>
      </c>
      <c r="G124" s="124"/>
      <c r="H124" s="124"/>
      <c r="I124" s="72"/>
      <c r="J124" s="72"/>
      <c r="K124" s="72"/>
      <c r="L124" s="72"/>
      <c r="M124" s="72"/>
      <c r="W124" s="61">
        <f>+$F$122/(E122/'Historical Financials'!AQ108)</f>
        <v>-6.597491993374387</v>
      </c>
      <c r="X124" s="61">
        <f>+$F$122/E109</f>
        <v>-0.57613608139710726</v>
      </c>
      <c r="Y124" s="61">
        <f t="shared" ref="Y124:AF124" si="122">+$F$122/F109</f>
        <v>-0.55355744268042317</v>
      </c>
      <c r="Z124" s="61">
        <f t="shared" si="122"/>
        <v>0.59879500076905279</v>
      </c>
      <c r="AA124" s="61">
        <f t="shared" si="122"/>
        <v>2.6677322671385695</v>
      </c>
      <c r="AB124" s="61">
        <f t="shared" si="122"/>
        <v>5.0389828393465566</v>
      </c>
      <c r="AC124" s="61">
        <f t="shared" si="122"/>
        <v>8.7008369755729564</v>
      </c>
      <c r="AD124" s="61">
        <f t="shared" si="122"/>
        <v>10.753383255938756</v>
      </c>
      <c r="AE124" s="61">
        <f t="shared" si="122"/>
        <v>15.275019693927989</v>
      </c>
      <c r="AF124" s="61">
        <f t="shared" si="122"/>
        <v>21.453477593038905</v>
      </c>
    </row>
    <row r="125" spans="2:32" ht="13.5" x14ac:dyDescent="0.35">
      <c r="B125" s="71" t="s">
        <v>309</v>
      </c>
      <c r="C125" s="72"/>
      <c r="D125" s="72"/>
      <c r="E125" s="88">
        <f>+'Historical Financials'!AH122</f>
        <v>-308461.75199999998</v>
      </c>
      <c r="F125" s="125">
        <f>E125/F$128</f>
        <v>-208.78007199236927</v>
      </c>
      <c r="G125" s="143"/>
      <c r="H125" s="72"/>
      <c r="I125" s="72"/>
      <c r="J125" s="72"/>
      <c r="K125" s="72"/>
      <c r="L125" s="72"/>
      <c r="M125" s="72"/>
      <c r="AB125" s="61">
        <f>+$F$124/I108</f>
        <v>36.643076469852666</v>
      </c>
      <c r="AC125" s="61">
        <f t="shared" ref="AC125:AD125" si="123">+$F$124/J108</f>
        <v>64.110094811857806</v>
      </c>
      <c r="AD125" s="61">
        <f t="shared" si="123"/>
        <v>79.619476237768083</v>
      </c>
    </row>
    <row r="126" spans="2:32" x14ac:dyDescent="0.2">
      <c r="B126" s="90" t="s">
        <v>301</v>
      </c>
      <c r="C126" s="72"/>
      <c r="D126" s="72"/>
      <c r="E126" s="72">
        <f>E124+E125</f>
        <v>737482.53216755926</v>
      </c>
      <c r="F126" s="75">
        <f>E126/F$128</f>
        <v>499.15963700763075</v>
      </c>
      <c r="G126" s="72"/>
      <c r="H126" s="72"/>
      <c r="I126" s="72"/>
      <c r="J126" s="72"/>
      <c r="K126" s="72"/>
      <c r="L126" s="72"/>
      <c r="M126" s="72"/>
    </row>
    <row r="127" spans="2:32" x14ac:dyDescent="0.2">
      <c r="C127" s="72"/>
      <c r="D127" s="72"/>
      <c r="E127" s="72"/>
      <c r="F127" s="72"/>
      <c r="G127" s="72"/>
      <c r="H127" s="72"/>
      <c r="I127" s="72"/>
      <c r="J127" s="72"/>
      <c r="K127" s="72"/>
      <c r="L127" s="72"/>
      <c r="M127" s="72"/>
    </row>
    <row r="128" spans="2:32" s="81" customFormat="1" x14ac:dyDescent="0.2">
      <c r="B128" s="76" t="s">
        <v>302</v>
      </c>
      <c r="C128" s="79"/>
      <c r="D128" s="79"/>
      <c r="E128" s="258"/>
      <c r="F128" s="98">
        <f>+'Historical Financials'!AH83</f>
        <v>1477.4482499999999</v>
      </c>
      <c r="G128" s="79"/>
      <c r="H128" s="79"/>
      <c r="I128" s="79"/>
      <c r="J128" s="79"/>
      <c r="K128" s="79"/>
      <c r="L128" s="79"/>
      <c r="M128" s="79"/>
    </row>
    <row r="129" spans="2:13" s="81" customFormat="1" x14ac:dyDescent="0.2">
      <c r="B129" s="76"/>
      <c r="C129" s="79"/>
      <c r="D129" s="79"/>
      <c r="E129" s="258"/>
      <c r="F129" s="126"/>
      <c r="G129" s="79"/>
      <c r="H129" s="79"/>
      <c r="I129" s="79"/>
      <c r="J129" s="79"/>
      <c r="K129" s="79"/>
      <c r="L129" s="79"/>
      <c r="M129" s="79"/>
    </row>
    <row r="130" spans="2:13" x14ac:dyDescent="0.2">
      <c r="G130" s="75"/>
    </row>
    <row r="131" spans="2:13" x14ac:dyDescent="0.2">
      <c r="B131" s="71"/>
      <c r="F131" s="127"/>
      <c r="G131" s="75"/>
    </row>
    <row r="132" spans="2:13" x14ac:dyDescent="0.2">
      <c r="B132" s="71"/>
      <c r="F132" s="128"/>
    </row>
    <row r="133" spans="2:13" x14ac:dyDescent="0.2">
      <c r="B133" s="71"/>
      <c r="E133" s="75"/>
      <c r="F133" s="127"/>
    </row>
    <row r="134" spans="2:13" x14ac:dyDescent="0.2">
      <c r="B134" s="71"/>
      <c r="F134" s="127"/>
    </row>
  </sheetData>
  <pageMargins left="0.3" right="0.3" top="0.3" bottom="0.4" header="0.3" footer="0.3"/>
  <pageSetup scale="51" orientation="portrait" r:id="rId1"/>
  <headerFooter>
    <oddFooter>&amp;C&amp;10Page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414C1-92C0-4EA6-B893-370BBC123DD7}">
  <sheetPr>
    <pageSetUpPr fitToPage="1"/>
  </sheetPr>
  <dimension ref="B1:W117"/>
  <sheetViews>
    <sheetView view="pageBreakPreview" zoomScale="85" zoomScaleNormal="100" zoomScaleSheetLayoutView="85" workbookViewId="0">
      <selection activeCell="F114" sqref="F114"/>
    </sheetView>
  </sheetViews>
  <sheetFormatPr defaultColWidth="10.6640625" defaultRowHeight="11.25" outlineLevelCol="1" x14ac:dyDescent="0.2"/>
  <cols>
    <col min="1" max="1" width="2.83203125" style="61" customWidth="1"/>
    <col min="2" max="2" width="30" style="61" customWidth="1"/>
    <col min="3" max="3" width="3" style="61" customWidth="1"/>
    <col min="4" max="4" width="12.83203125" style="61" hidden="1" customWidth="1" outlineLevel="1"/>
    <col min="5" max="5" width="12.6640625" style="61" customWidth="1" collapsed="1"/>
    <col min="6" max="21" width="12.6640625" style="61" customWidth="1"/>
    <col min="22" max="16384" width="10.6640625" style="61"/>
  </cols>
  <sheetData>
    <row r="1" spans="2:23" ht="10.15" x14ac:dyDescent="0.2">
      <c r="E1" s="75"/>
      <c r="F1" s="75"/>
      <c r="G1" s="75"/>
      <c r="I1" s="75"/>
      <c r="T1" s="75"/>
      <c r="U1" s="75"/>
    </row>
    <row r="2" spans="2:23" ht="10.15" x14ac:dyDescent="0.2">
      <c r="B2" s="60" t="s">
        <v>0</v>
      </c>
      <c r="M2" s="62"/>
      <c r="N2" s="63"/>
      <c r="O2" s="63"/>
      <c r="P2" s="63"/>
      <c r="U2" s="64">
        <f ca="1">+TODAY()</f>
        <v>45796</v>
      </c>
    </row>
    <row r="3" spans="2:23" s="66" customFormat="1" ht="10.15" x14ac:dyDescent="0.2">
      <c r="B3" s="65" t="s">
        <v>338</v>
      </c>
    </row>
    <row r="4" spans="2:23" ht="10.15" x14ac:dyDescent="0.2">
      <c r="B4" s="3" t="s">
        <v>108</v>
      </c>
    </row>
    <row r="5" spans="2:23" ht="10.15" x14ac:dyDescent="0.2">
      <c r="E5" s="67" t="s">
        <v>58</v>
      </c>
      <c r="F5" s="68"/>
      <c r="G5" s="68"/>
      <c r="H5" s="68"/>
      <c r="I5" s="68"/>
      <c r="J5" s="68"/>
      <c r="K5" s="68"/>
      <c r="L5" s="68"/>
      <c r="M5" s="68"/>
      <c r="N5" s="68"/>
      <c r="O5" s="68"/>
      <c r="P5" s="68"/>
      <c r="Q5" s="68"/>
      <c r="R5" s="68"/>
      <c r="S5" s="68"/>
      <c r="T5" s="68"/>
      <c r="U5" s="68"/>
    </row>
    <row r="6" spans="2:23" ht="12" x14ac:dyDescent="0.35">
      <c r="D6" s="69" t="s">
        <v>52</v>
      </c>
      <c r="E6" s="69" t="s">
        <v>53</v>
      </c>
      <c r="F6" s="69" t="s">
        <v>54</v>
      </c>
      <c r="G6" s="69" t="s">
        <v>55</v>
      </c>
      <c r="H6" s="69" t="s">
        <v>56</v>
      </c>
      <c r="I6" s="69" t="s">
        <v>259</v>
      </c>
      <c r="J6" s="69" t="s">
        <v>57</v>
      </c>
      <c r="K6" s="69" t="s">
        <v>267</v>
      </c>
      <c r="L6" s="69" t="s">
        <v>268</v>
      </c>
      <c r="M6" s="69" t="s">
        <v>269</v>
      </c>
      <c r="N6" s="69" t="s">
        <v>270</v>
      </c>
      <c r="O6" s="69" t="s">
        <v>271</v>
      </c>
      <c r="P6" s="69" t="s">
        <v>272</v>
      </c>
      <c r="Q6" s="69" t="s">
        <v>273</v>
      </c>
      <c r="R6" s="69" t="s">
        <v>274</v>
      </c>
      <c r="S6" s="69" t="s">
        <v>275</v>
      </c>
      <c r="T6" s="69" t="s">
        <v>276</v>
      </c>
      <c r="U6" s="69" t="s">
        <v>362</v>
      </c>
    </row>
    <row r="7" spans="2:23" ht="10.15" x14ac:dyDescent="0.2">
      <c r="E7" s="70"/>
      <c r="F7" s="70"/>
      <c r="G7" s="70"/>
      <c r="H7" s="70"/>
      <c r="I7" s="70">
        <f ca="1">+TODAY()</f>
        <v>45796</v>
      </c>
      <c r="J7" s="70">
        <v>45657</v>
      </c>
      <c r="K7" s="70">
        <v>46022</v>
      </c>
      <c r="L7" s="70">
        <v>46387</v>
      </c>
      <c r="M7" s="70">
        <v>46752</v>
      </c>
      <c r="N7" s="70">
        <v>47118</v>
      </c>
      <c r="O7" s="70">
        <v>47483</v>
      </c>
      <c r="P7" s="70">
        <v>47848</v>
      </c>
      <c r="Q7" s="70">
        <v>48213</v>
      </c>
      <c r="R7" s="70">
        <v>48579</v>
      </c>
      <c r="S7" s="70">
        <v>48944</v>
      </c>
      <c r="T7" s="70">
        <v>49309</v>
      </c>
      <c r="U7" s="70"/>
    </row>
    <row r="8" spans="2:23" ht="10.15" x14ac:dyDescent="0.2">
      <c r="B8" s="71" t="s">
        <v>348</v>
      </c>
      <c r="D8" s="136">
        <v>91928110</v>
      </c>
      <c r="E8" s="136">
        <v>98651520</v>
      </c>
      <c r="F8" s="136">
        <v>101356700</v>
      </c>
      <c r="G8" s="136">
        <v>114923700</v>
      </c>
      <c r="H8" s="136">
        <v>120472400</v>
      </c>
      <c r="I8" s="136">
        <v>126058210.00000001</v>
      </c>
      <c r="J8" s="74">
        <f t="shared" ref="J8:U8" si="0">+I8*(1+J9)</f>
        <v>132361120.50000001</v>
      </c>
      <c r="K8" s="74">
        <f t="shared" si="0"/>
        <v>138979176.52500004</v>
      </c>
      <c r="L8" s="74">
        <f t="shared" si="0"/>
        <v>145928135.35125005</v>
      </c>
      <c r="M8" s="74">
        <f t="shared" si="0"/>
        <v>153224542.11881256</v>
      </c>
      <c r="N8" s="74">
        <f t="shared" si="0"/>
        <v>160885769.2247532</v>
      </c>
      <c r="O8" s="74">
        <f t="shared" si="0"/>
        <v>168930057.68599087</v>
      </c>
      <c r="P8" s="74">
        <f t="shared" si="0"/>
        <v>177376560.57029042</v>
      </c>
      <c r="Q8" s="74">
        <f t="shared" si="0"/>
        <v>186245388.59880495</v>
      </c>
      <c r="R8" s="74">
        <f t="shared" si="0"/>
        <v>195557658.0287452</v>
      </c>
      <c r="S8" s="74">
        <f t="shared" si="0"/>
        <v>205335540.93018249</v>
      </c>
      <c r="T8" s="74">
        <f t="shared" si="0"/>
        <v>215602317.97669163</v>
      </c>
      <c r="U8" s="74">
        <f t="shared" si="0"/>
        <v>226382433.87552622</v>
      </c>
    </row>
    <row r="9" spans="2:23" ht="10.15" x14ac:dyDescent="0.2">
      <c r="B9" s="76" t="s">
        <v>85</v>
      </c>
      <c r="E9" s="77">
        <f>+IFERROR(E8/D8-1,"n/a")</f>
        <v>7.3137694226499406E-2</v>
      </c>
      <c r="F9" s="77">
        <f>+IFERROR(F8/E8-1,"n/a")</f>
        <v>2.7421574447104247E-2</v>
      </c>
      <c r="G9" s="77">
        <f>+IFERROR(G8/F8-1,"n/a")</f>
        <v>0.13385400274476189</v>
      </c>
      <c r="H9" s="77">
        <f>+IFERROR(H8/G8-1,"n/a")</f>
        <v>4.8281599008733522E-2</v>
      </c>
      <c r="I9" s="77">
        <f>+IFERROR(I8/H8-1,"n/a")</f>
        <v>4.6365889614550904E-2</v>
      </c>
      <c r="J9" s="78">
        <v>0.05</v>
      </c>
      <c r="K9" s="78">
        <v>0.05</v>
      </c>
      <c r="L9" s="78">
        <v>0.05</v>
      </c>
      <c r="M9" s="78">
        <v>0.05</v>
      </c>
      <c r="N9" s="78">
        <v>0.05</v>
      </c>
      <c r="O9" s="78">
        <v>0.05</v>
      </c>
      <c r="P9" s="78">
        <v>0.05</v>
      </c>
      <c r="Q9" s="78">
        <v>0.05</v>
      </c>
      <c r="R9" s="78">
        <v>0.05</v>
      </c>
      <c r="S9" s="78">
        <v>0.05</v>
      </c>
      <c r="T9" s="78">
        <v>0.05</v>
      </c>
      <c r="U9" s="78">
        <v>0.05</v>
      </c>
    </row>
    <row r="10" spans="2:23" ht="10.15" x14ac:dyDescent="0.2">
      <c r="E10" s="70"/>
      <c r="F10" s="70"/>
      <c r="G10" s="70"/>
      <c r="H10" s="70"/>
      <c r="I10" s="70">
        <v>1000</v>
      </c>
      <c r="J10" s="70"/>
      <c r="K10" s="70"/>
      <c r="L10" s="70"/>
      <c r="M10" s="70"/>
      <c r="N10" s="70"/>
      <c r="O10" s="70"/>
      <c r="P10" s="70"/>
      <c r="Q10" s="70"/>
      <c r="R10" s="70"/>
      <c r="S10" s="70"/>
      <c r="T10" s="70"/>
      <c r="U10" s="70"/>
    </row>
    <row r="11" spans="2:23" ht="10.15" x14ac:dyDescent="0.2">
      <c r="B11" s="71" t="s">
        <v>324</v>
      </c>
      <c r="D11" s="74">
        <f>+E11/(1+E12)</f>
        <v>33433787.112863708</v>
      </c>
      <c r="E11" s="74">
        <f>+F11/(1+F12)</f>
        <v>36075056.294779941</v>
      </c>
      <c r="F11" s="136">
        <v>35245330</v>
      </c>
      <c r="G11" s="136">
        <v>39392830</v>
      </c>
      <c r="H11" s="136">
        <v>39579170</v>
      </c>
      <c r="I11" s="136">
        <v>41860550</v>
      </c>
      <c r="J11" s="74">
        <f t="shared" ref="J11:U11" si="1">+I11*(1+J12)</f>
        <v>43953577.5</v>
      </c>
      <c r="K11" s="74">
        <f t="shared" si="1"/>
        <v>46151256.375</v>
      </c>
      <c r="L11" s="74">
        <f t="shared" si="1"/>
        <v>48458819.193750001</v>
      </c>
      <c r="M11" s="74">
        <f t="shared" si="1"/>
        <v>50881760.153437503</v>
      </c>
      <c r="N11" s="74">
        <f t="shared" si="1"/>
        <v>53425848.16110938</v>
      </c>
      <c r="O11" s="74">
        <f t="shared" si="1"/>
        <v>56097140.56916485</v>
      </c>
      <c r="P11" s="74">
        <f t="shared" si="1"/>
        <v>58901997.597623095</v>
      </c>
      <c r="Q11" s="74">
        <f t="shared" si="1"/>
        <v>61847097.477504253</v>
      </c>
      <c r="R11" s="74">
        <f t="shared" si="1"/>
        <v>64939452.351379469</v>
      </c>
      <c r="S11" s="74">
        <f t="shared" si="1"/>
        <v>68186424.968948439</v>
      </c>
      <c r="T11" s="74">
        <f t="shared" si="1"/>
        <v>71595746.217395857</v>
      </c>
      <c r="U11" s="74">
        <f t="shared" si="1"/>
        <v>75175533.528265655</v>
      </c>
    </row>
    <row r="12" spans="2:23" ht="10.15" x14ac:dyDescent="0.2">
      <c r="B12" s="76" t="s">
        <v>85</v>
      </c>
      <c r="C12" s="72"/>
      <c r="D12" s="72"/>
      <c r="E12" s="141">
        <v>7.9000000000000001E-2</v>
      </c>
      <c r="F12" s="141">
        <v>-2.3E-2</v>
      </c>
      <c r="G12" s="77">
        <f>+IFERROR(G11/F11-1,"n/a")</f>
        <v>0.11767516434092129</v>
      </c>
      <c r="H12" s="77">
        <f>+IFERROR(H11/G11-1,"n/a")</f>
        <v>4.7303024433633656E-3</v>
      </c>
      <c r="I12" s="77">
        <f>+IFERROR(I11/H11-1,"n/a")</f>
        <v>5.7640925769792517E-2</v>
      </c>
      <c r="J12" s="78">
        <v>0.05</v>
      </c>
      <c r="K12" s="78">
        <v>0.05</v>
      </c>
      <c r="L12" s="78">
        <v>0.05</v>
      </c>
      <c r="M12" s="78">
        <v>0.05</v>
      </c>
      <c r="N12" s="78">
        <v>0.05</v>
      </c>
      <c r="O12" s="78">
        <v>0.05</v>
      </c>
      <c r="P12" s="78">
        <v>0.05</v>
      </c>
      <c r="Q12" s="78">
        <v>0.05</v>
      </c>
      <c r="R12" s="78">
        <v>0.05</v>
      </c>
      <c r="S12" s="78">
        <v>0.05</v>
      </c>
      <c r="T12" s="78">
        <v>0.05</v>
      </c>
      <c r="U12" s="78">
        <v>0.05</v>
      </c>
      <c r="V12" s="75"/>
      <c r="W12" s="72"/>
    </row>
    <row r="13" spans="2:23" ht="10.15" x14ac:dyDescent="0.2">
      <c r="B13" s="76" t="s">
        <v>344</v>
      </c>
      <c r="C13" s="72"/>
      <c r="D13" s="154">
        <f>IFERROR(D11/D8,"n/a")</f>
        <v>0.36369492544623955</v>
      </c>
      <c r="E13" s="154">
        <f t="shared" ref="E13:T13" si="2">IFERROR(E11/E8,"n/a")</f>
        <v>0.3656817076389694</v>
      </c>
      <c r="F13" s="154">
        <f t="shared" si="2"/>
        <v>0.34773557150143997</v>
      </c>
      <c r="G13" s="154">
        <f t="shared" si="2"/>
        <v>0.34277377077139004</v>
      </c>
      <c r="H13" s="154">
        <f t="shared" si="2"/>
        <v>0.32853309139686765</v>
      </c>
      <c r="I13" s="154">
        <f t="shared" si="2"/>
        <v>0.33207317476584819</v>
      </c>
      <c r="J13" s="154">
        <f t="shared" si="2"/>
        <v>0.33207317476584819</v>
      </c>
      <c r="K13" s="154">
        <f t="shared" si="2"/>
        <v>0.33207317476584819</v>
      </c>
      <c r="L13" s="154">
        <f t="shared" si="2"/>
        <v>0.33207317476584813</v>
      </c>
      <c r="M13" s="154">
        <f t="shared" si="2"/>
        <v>0.33207317476584813</v>
      </c>
      <c r="N13" s="154">
        <f t="shared" si="2"/>
        <v>0.33207317476584813</v>
      </c>
      <c r="O13" s="154">
        <f t="shared" si="2"/>
        <v>0.33207317476584813</v>
      </c>
      <c r="P13" s="154">
        <f t="shared" si="2"/>
        <v>0.33207317476584813</v>
      </c>
      <c r="Q13" s="154">
        <f t="shared" si="2"/>
        <v>0.33207317476584813</v>
      </c>
      <c r="R13" s="154">
        <f t="shared" si="2"/>
        <v>0.33207317476584813</v>
      </c>
      <c r="S13" s="154">
        <f t="shared" si="2"/>
        <v>0.33207317476584808</v>
      </c>
      <c r="T13" s="154">
        <f t="shared" si="2"/>
        <v>0.33207317476584802</v>
      </c>
      <c r="U13" s="154">
        <f t="shared" ref="U13" si="3">IFERROR(U11/U8,"n/a")</f>
        <v>0.33207317476584802</v>
      </c>
      <c r="V13" s="75"/>
      <c r="W13" s="72"/>
    </row>
    <row r="14" spans="2:23" ht="10.15" x14ac:dyDescent="0.2">
      <c r="B14" s="76"/>
      <c r="C14" s="72"/>
      <c r="D14" s="72"/>
      <c r="E14" s="141"/>
      <c r="F14" s="141"/>
      <c r="G14" s="77"/>
      <c r="H14" s="77"/>
      <c r="I14" s="78"/>
      <c r="J14" s="78"/>
      <c r="K14" s="78"/>
      <c r="L14" s="78"/>
      <c r="M14" s="78"/>
      <c r="N14" s="78"/>
      <c r="O14" s="78"/>
      <c r="P14" s="78"/>
      <c r="Q14" s="78"/>
      <c r="R14" s="78"/>
      <c r="S14" s="78"/>
      <c r="T14" s="78"/>
      <c r="U14" s="78"/>
      <c r="V14" s="75"/>
      <c r="W14" s="72"/>
    </row>
    <row r="15" spans="2:23" ht="10.15" x14ac:dyDescent="0.2">
      <c r="B15" s="71" t="s">
        <v>319</v>
      </c>
      <c r="D15" s="74">
        <f>+E15/(1+E16)</f>
        <v>7332155.9671311956</v>
      </c>
      <c r="E15" s="74">
        <f>+F15/(1+F16)</f>
        <v>8761926.3807217795</v>
      </c>
      <c r="F15" s="74">
        <f>+G15/(1+G16)</f>
        <v>10058691.485068602</v>
      </c>
      <c r="G15" s="74">
        <f>+H15/(1+H16)</f>
        <v>11265734.463276835</v>
      </c>
      <c r="H15" s="136">
        <v>11964210</v>
      </c>
      <c r="I15" s="136">
        <v>13017400</v>
      </c>
      <c r="J15" s="74">
        <f t="shared" ref="J15:U15" si="4">+I15*(1+J16)</f>
        <v>14058792</v>
      </c>
      <c r="K15" s="74">
        <f t="shared" si="4"/>
        <v>15183495.360000001</v>
      </c>
      <c r="L15" s="74">
        <f t="shared" si="4"/>
        <v>16398174.988800002</v>
      </c>
      <c r="M15" s="74">
        <f t="shared" si="4"/>
        <v>17710028.987904005</v>
      </c>
      <c r="N15" s="74">
        <f t="shared" si="4"/>
        <v>19126831.306936327</v>
      </c>
      <c r="O15" s="74">
        <f t="shared" si="4"/>
        <v>20656977.811491236</v>
      </c>
      <c r="P15" s="74">
        <f t="shared" si="4"/>
        <v>22309536.036410537</v>
      </c>
      <c r="Q15" s="74">
        <f t="shared" si="4"/>
        <v>24094298.919323381</v>
      </c>
      <c r="R15" s="74">
        <f t="shared" si="4"/>
        <v>26021842.832869254</v>
      </c>
      <c r="S15" s="74">
        <f t="shared" si="4"/>
        <v>28103590.259498797</v>
      </c>
      <c r="T15" s="74">
        <f t="shared" si="4"/>
        <v>30351877.480258703</v>
      </c>
      <c r="U15" s="74">
        <f t="shared" si="4"/>
        <v>32780027.678679403</v>
      </c>
      <c r="W15" s="75"/>
    </row>
    <row r="16" spans="2:23" ht="10.15" x14ac:dyDescent="0.2">
      <c r="B16" s="76" t="s">
        <v>85</v>
      </c>
      <c r="C16" s="72"/>
      <c r="D16" s="72"/>
      <c r="E16" s="141">
        <v>0.19500000000000001</v>
      </c>
      <c r="F16" s="141">
        <v>0.14799999999999999</v>
      </c>
      <c r="G16" s="141">
        <v>0.12</v>
      </c>
      <c r="H16" s="141">
        <v>6.2E-2</v>
      </c>
      <c r="I16" s="141">
        <v>8.4000000000000005E-2</v>
      </c>
      <c r="J16" s="78">
        <f t="shared" ref="J16:T16" si="5">+J12*1.6</f>
        <v>8.0000000000000016E-2</v>
      </c>
      <c r="K16" s="78">
        <f t="shared" si="5"/>
        <v>8.0000000000000016E-2</v>
      </c>
      <c r="L16" s="78">
        <f t="shared" si="5"/>
        <v>8.0000000000000016E-2</v>
      </c>
      <c r="M16" s="78">
        <f t="shared" si="5"/>
        <v>8.0000000000000016E-2</v>
      </c>
      <c r="N16" s="78">
        <f t="shared" si="5"/>
        <v>8.0000000000000016E-2</v>
      </c>
      <c r="O16" s="78">
        <f t="shared" si="5"/>
        <v>8.0000000000000016E-2</v>
      </c>
      <c r="P16" s="78">
        <f t="shared" si="5"/>
        <v>8.0000000000000016E-2</v>
      </c>
      <c r="Q16" s="78">
        <f t="shared" si="5"/>
        <v>8.0000000000000016E-2</v>
      </c>
      <c r="R16" s="78">
        <f t="shared" si="5"/>
        <v>8.0000000000000016E-2</v>
      </c>
      <c r="S16" s="78">
        <f t="shared" si="5"/>
        <v>8.0000000000000016E-2</v>
      </c>
      <c r="T16" s="78">
        <f t="shared" si="5"/>
        <v>8.0000000000000016E-2</v>
      </c>
      <c r="U16" s="78">
        <f t="shared" ref="U16" si="6">+U12*1.6</f>
        <v>8.0000000000000016E-2</v>
      </c>
      <c r="V16" s="75"/>
      <c r="W16" s="72"/>
    </row>
    <row r="17" spans="2:23" ht="10.15" x14ac:dyDescent="0.2">
      <c r="B17" s="76" t="s">
        <v>345</v>
      </c>
      <c r="D17" s="154">
        <f t="shared" ref="D17:T17" si="7">IFERROR(D15/D11,"n/a")</f>
        <v>0.21930378220031602</v>
      </c>
      <c r="E17" s="154">
        <f t="shared" si="7"/>
        <v>0.24288046314122119</v>
      </c>
      <c r="F17" s="154">
        <f t="shared" si="7"/>
        <v>0.28539075914649126</v>
      </c>
      <c r="G17" s="154">
        <f t="shared" si="7"/>
        <v>0.28598439013589111</v>
      </c>
      <c r="H17" s="154">
        <f t="shared" si="7"/>
        <v>0.30228552038862866</v>
      </c>
      <c r="I17" s="154">
        <f t="shared" si="7"/>
        <v>0.31097059164296692</v>
      </c>
      <c r="J17" s="154">
        <f t="shared" si="7"/>
        <v>0.31985546568990886</v>
      </c>
      <c r="K17" s="154">
        <f t="shared" si="7"/>
        <v>0.32899419328104912</v>
      </c>
      <c r="L17" s="154">
        <f t="shared" si="7"/>
        <v>0.3383940273747934</v>
      </c>
      <c r="M17" s="154">
        <f t="shared" si="7"/>
        <v>0.34806242815693039</v>
      </c>
      <c r="N17" s="154">
        <f t="shared" si="7"/>
        <v>0.35800706896141415</v>
      </c>
      <c r="O17" s="154">
        <f t="shared" si="7"/>
        <v>0.36823584236031176</v>
      </c>
      <c r="P17" s="154">
        <f t="shared" si="7"/>
        <v>0.37875686642774925</v>
      </c>
      <c r="Q17" s="154">
        <f t="shared" si="7"/>
        <v>0.38957849118282778</v>
      </c>
      <c r="R17" s="154">
        <f t="shared" si="7"/>
        <v>0.4007093052166229</v>
      </c>
      <c r="S17" s="154">
        <f t="shared" si="7"/>
        <v>0.41215814250852645</v>
      </c>
      <c r="T17" s="154">
        <f t="shared" si="7"/>
        <v>0.42393408943734157</v>
      </c>
      <c r="U17" s="154">
        <f t="shared" ref="U17" si="8">IFERROR(U15/U11,"n/a")</f>
        <v>0.43604649199269419</v>
      </c>
    </row>
    <row r="18" spans="2:23" ht="12" x14ac:dyDescent="0.35">
      <c r="B18" s="71"/>
      <c r="D18" s="139"/>
      <c r="E18" s="139"/>
      <c r="F18" s="139"/>
      <c r="G18" s="139"/>
      <c r="H18" s="139"/>
      <c r="I18" s="139"/>
      <c r="J18" s="139"/>
      <c r="K18" s="139"/>
      <c r="L18" s="139"/>
      <c r="M18" s="139"/>
      <c r="N18" s="139"/>
      <c r="O18" s="139"/>
      <c r="P18" s="139"/>
      <c r="Q18" s="139"/>
      <c r="R18" s="139"/>
      <c r="S18" s="139"/>
      <c r="T18" s="139"/>
      <c r="U18" s="139"/>
    </row>
    <row r="19" spans="2:23" x14ac:dyDescent="0.2">
      <c r="B19" s="71" t="s">
        <v>320</v>
      </c>
      <c r="D19" s="73">
        <f>+'Historical Financials'!AQ247*1000</f>
        <v>282960.00000000006</v>
      </c>
      <c r="E19" s="73">
        <f>+'Historical Financials'!AR247*1000</f>
        <v>603960</v>
      </c>
      <c r="F19" s="73">
        <f>+'Historical Financials'!AS247*1000</f>
        <v>1004632.4999999998</v>
      </c>
      <c r="G19" s="73">
        <f>+'Historical Financials'!AT247*1000</f>
        <v>1492323.0885635172</v>
      </c>
      <c r="H19" s="73">
        <f>+'Historical Financials'!AU247*1000</f>
        <v>1816496.4371076007</v>
      </c>
      <c r="I19" s="73">
        <f>+'Historical Financials'!AV247*1000</f>
        <v>2265792.1406162223</v>
      </c>
      <c r="J19" s="73">
        <f>+'Historical Financials'!AW247*1000</f>
        <v>2683402.2397207366</v>
      </c>
      <c r="K19" s="73">
        <f>+'Historical Financials'!AX247*1000</f>
        <v>3066389.4312508102</v>
      </c>
      <c r="L19" s="74">
        <f t="shared" ref="L19:T19" si="9">+L23/L25</f>
        <v>3516499.5007010126</v>
      </c>
      <c r="M19" s="74">
        <f t="shared" si="9"/>
        <v>4005116.5662024878</v>
      </c>
      <c r="N19" s="74">
        <f t="shared" si="9"/>
        <v>4531734.7336380761</v>
      </c>
      <c r="O19" s="74">
        <f t="shared" si="9"/>
        <v>5095400.3371836124</v>
      </c>
      <c r="P19" s="74">
        <f t="shared" si="9"/>
        <v>5694725.6466460684</v>
      </c>
      <c r="Q19" s="74">
        <f t="shared" si="9"/>
        <v>6327912.1602322711</v>
      </c>
      <c r="R19" s="74">
        <f t="shared" si="9"/>
        <v>6992782.3325663647</v>
      </c>
      <c r="S19" s="74">
        <f t="shared" si="9"/>
        <v>7686818.3737153457</v>
      </c>
      <c r="T19" s="74">
        <f t="shared" si="9"/>
        <v>8407206.6197781526</v>
      </c>
      <c r="U19" s="74">
        <f t="shared" ref="U19" si="10">+U23/U25</f>
        <v>9150885.9162637312</v>
      </c>
    </row>
    <row r="20" spans="2:23" ht="10.15" x14ac:dyDescent="0.2">
      <c r="B20" s="76" t="s">
        <v>85</v>
      </c>
      <c r="C20" s="72"/>
      <c r="D20" s="72"/>
      <c r="E20" s="77">
        <f t="shared" ref="E20:U20" si="11">+IFERROR(E19/D19-1,"n/a")</f>
        <v>1.1344359626802372</v>
      </c>
      <c r="F20" s="77">
        <f t="shared" si="11"/>
        <v>0.66340900059606556</v>
      </c>
      <c r="G20" s="77">
        <f t="shared" si="11"/>
        <v>0.48544177951989176</v>
      </c>
      <c r="H20" s="77">
        <f t="shared" si="11"/>
        <v>0.21722732230600728</v>
      </c>
      <c r="I20" s="77">
        <f t="shared" si="11"/>
        <v>0.24734191288810514</v>
      </c>
      <c r="J20" s="77">
        <f t="shared" si="11"/>
        <v>0.1843108604794339</v>
      </c>
      <c r="K20" s="77">
        <f t="shared" si="11"/>
        <v>0.14272448083293376</v>
      </c>
      <c r="L20" s="77">
        <f t="shared" si="11"/>
        <v>0.14678829272725413</v>
      </c>
      <c r="M20" s="77">
        <f t="shared" si="11"/>
        <v>0.13894984640380859</v>
      </c>
      <c r="N20" s="77">
        <f t="shared" si="11"/>
        <v>0.13148635220245519</v>
      </c>
      <c r="O20" s="77">
        <f t="shared" si="11"/>
        <v>0.1243818618423469</v>
      </c>
      <c r="P20" s="77">
        <f t="shared" si="11"/>
        <v>0.11762084817730378</v>
      </c>
      <c r="Q20" s="77">
        <f t="shared" si="11"/>
        <v>0.11118823853421644</v>
      </c>
      <c r="R20" s="77">
        <f t="shared" si="11"/>
        <v>0.10506943767526766</v>
      </c>
      <c r="S20" s="77">
        <f t="shared" si="11"/>
        <v>9.9250342444774597E-2</v>
      </c>
      <c r="T20" s="77">
        <f t="shared" si="11"/>
        <v>9.3717349758924318E-2</v>
      </c>
      <c r="U20" s="77">
        <f t="shared" si="11"/>
        <v>8.8457359277462677E-2</v>
      </c>
      <c r="V20" s="77"/>
      <c r="W20" s="77"/>
    </row>
    <row r="21" spans="2:23" ht="10.15" x14ac:dyDescent="0.2">
      <c r="B21" s="76" t="s">
        <v>349</v>
      </c>
      <c r="D21" s="154">
        <f>IFERROR(D19/D15,"n/a")</f>
        <v>3.8591650432486906E-2</v>
      </c>
      <c r="E21" s="154">
        <f>IFERROR(E19/E15,"n/a")</f>
        <v>6.893004731571914E-2</v>
      </c>
      <c r="F21" s="154">
        <f>IFERROR(F19/F15,"n/a")</f>
        <v>9.987705672167238E-2</v>
      </c>
      <c r="G21" s="154">
        <f>IFERROR(G19/G15,"n/a")</f>
        <v>0.13246567220522337</v>
      </c>
      <c r="H21" s="154">
        <f t="shared" ref="H21:T21" si="12">+H19/H15</f>
        <v>0.15182752869663779</v>
      </c>
      <c r="I21" s="154">
        <f t="shared" si="12"/>
        <v>0.1740587322058339</v>
      </c>
      <c r="J21" s="154">
        <f t="shared" si="12"/>
        <v>0.19087004343763936</v>
      </c>
      <c r="K21" s="154">
        <f t="shared" si="12"/>
        <v>0.20195543638318139</v>
      </c>
      <c r="L21" s="154">
        <f t="shared" si="12"/>
        <v>0.21444456490449645</v>
      </c>
      <c r="M21" s="154">
        <f t="shared" si="12"/>
        <v>0.22614963357417386</v>
      </c>
      <c r="N21" s="154">
        <f t="shared" si="12"/>
        <v>0.23693076291181836</v>
      </c>
      <c r="O21" s="154">
        <f t="shared" si="12"/>
        <v>0.24666727067640556</v>
      </c>
      <c r="P21" s="154">
        <f t="shared" si="12"/>
        <v>0.25525970765828232</v>
      </c>
      <c r="Q21" s="154">
        <f t="shared" si="12"/>
        <v>0.26263109714959793</v>
      </c>
      <c r="R21" s="154">
        <f t="shared" si="12"/>
        <v>0.26872740633624514</v>
      </c>
      <c r="S21" s="154">
        <f t="shared" si="12"/>
        <v>0.2735173087401977</v>
      </c>
      <c r="T21" s="154">
        <f t="shared" si="12"/>
        <v>0.27699132039678009</v>
      </c>
      <c r="U21" s="154">
        <f t="shared" ref="U21" si="13">+U19/U15</f>
        <v>0.27916040846468221</v>
      </c>
      <c r="V21" s="145"/>
    </row>
    <row r="22" spans="2:23" ht="12" x14ac:dyDescent="0.35">
      <c r="B22" s="71"/>
      <c r="D22" s="139"/>
      <c r="E22" s="139"/>
      <c r="F22" s="139"/>
      <c r="G22" s="139"/>
      <c r="H22" s="139"/>
      <c r="I22" s="139"/>
      <c r="J22" s="139"/>
      <c r="K22" s="139"/>
      <c r="L22" s="139"/>
      <c r="M22" s="139"/>
      <c r="N22" s="139"/>
      <c r="O22" s="139"/>
      <c r="P22" s="139"/>
      <c r="Q22" s="139"/>
      <c r="R22" s="139"/>
      <c r="S22" s="139"/>
      <c r="T22" s="139"/>
      <c r="U22" s="139"/>
      <c r="V22" s="145"/>
    </row>
    <row r="23" spans="2:23" x14ac:dyDescent="0.2">
      <c r="B23" s="71" t="s">
        <v>321</v>
      </c>
      <c r="D23" s="73">
        <f>+'Historical Financials'!AQ225*1000</f>
        <v>471600</v>
      </c>
      <c r="E23" s="73">
        <f>+'Historical Financials'!AR225*1000</f>
        <v>1006600</v>
      </c>
      <c r="F23" s="73">
        <f>+'Historical Financials'!AS225*1000</f>
        <v>1667600</v>
      </c>
      <c r="G23" s="73">
        <f>+'Historical Financials'!AT225*1000</f>
        <v>2441724.4067552658</v>
      </c>
      <c r="H23" s="73">
        <f>+'Historical Financials'!AU225*1000</f>
        <v>2964545.1277905754</v>
      </c>
      <c r="I23" s="73">
        <f>+'Historical Financials'!AV225*1000</f>
        <v>3701315.2687979992</v>
      </c>
      <c r="J23" s="73">
        <f>+'Historical Financials'!AW225*1000</f>
        <v>4407764.233365573</v>
      </c>
      <c r="K23" s="73">
        <f>+'Historical Financials'!AX225*1000</f>
        <v>5058883.6531021297</v>
      </c>
      <c r="L23" s="74">
        <f t="shared" ref="L23:T23" si="14">+L28-L27</f>
        <v>5801468.5476468056</v>
      </c>
      <c r="M23" s="74">
        <f t="shared" si="14"/>
        <v>6607581.7112588556</v>
      </c>
      <c r="N23" s="74">
        <f t="shared" si="14"/>
        <v>7476388.5273519391</v>
      </c>
      <c r="O23" s="74">
        <f t="shared" si="14"/>
        <v>8406315.6522407364</v>
      </c>
      <c r="P23" s="74">
        <f t="shared" si="14"/>
        <v>9395073.6293034367</v>
      </c>
      <c r="Q23" s="74">
        <f t="shared" si="14"/>
        <v>10439695.317044953</v>
      </c>
      <c r="R23" s="74">
        <f t="shared" si="14"/>
        <v>11536588.233507993</v>
      </c>
      <c r="S23" s="74">
        <f t="shared" si="14"/>
        <v>12681598.566328017</v>
      </c>
      <c r="T23" s="74">
        <f t="shared" si="14"/>
        <v>13870084.374670852</v>
      </c>
      <c r="U23" s="74">
        <f t="shared" ref="U23" si="15">+U28-U27</f>
        <v>15096995.411409833</v>
      </c>
    </row>
    <row r="24" spans="2:23" ht="10.15" x14ac:dyDescent="0.2">
      <c r="B24" s="76" t="s">
        <v>85</v>
      </c>
      <c r="C24" s="72"/>
      <c r="D24" s="72"/>
      <c r="E24" s="77">
        <f t="shared" ref="E24:U24" si="16">+IFERROR(E23/D23-1,"n/a")</f>
        <v>1.1344359626802376</v>
      </c>
      <c r="F24" s="77">
        <f t="shared" si="16"/>
        <v>0.6566660043711503</v>
      </c>
      <c r="G24" s="77">
        <f t="shared" si="16"/>
        <v>0.46421468383021458</v>
      </c>
      <c r="H24" s="77">
        <f t="shared" ref="H24" si="17">+IFERROR(H23/G23-1,"n/a")</f>
        <v>0.21411946392839254</v>
      </c>
      <c r="I24" s="77">
        <f t="shared" ref="I24" si="18">+IFERROR(I23/H23-1,"n/a")</f>
        <v>0.24852721387193921</v>
      </c>
      <c r="J24" s="77">
        <f t="shared" ref="J24:K24" si="19">+IFERROR(J23/I23-1,"n/a")</f>
        <v>0.19086430451437675</v>
      </c>
      <c r="K24" s="77">
        <f t="shared" si="19"/>
        <v>0.14772101801810544</v>
      </c>
      <c r="L24" s="77">
        <f t="shared" si="16"/>
        <v>0.14678829272725413</v>
      </c>
      <c r="M24" s="77">
        <f t="shared" si="16"/>
        <v>0.13894984640380859</v>
      </c>
      <c r="N24" s="77">
        <f t="shared" si="16"/>
        <v>0.13148635220245519</v>
      </c>
      <c r="O24" s="77">
        <f t="shared" si="16"/>
        <v>0.12438186184234712</v>
      </c>
      <c r="P24" s="77">
        <f t="shared" si="16"/>
        <v>0.11762084817730378</v>
      </c>
      <c r="Q24" s="77">
        <f t="shared" si="16"/>
        <v>0.11118823853421644</v>
      </c>
      <c r="R24" s="77">
        <f t="shared" si="16"/>
        <v>0.10506943767526788</v>
      </c>
      <c r="S24" s="77">
        <f t="shared" si="16"/>
        <v>9.9250342444774597E-2</v>
      </c>
      <c r="T24" s="77">
        <f t="shared" si="16"/>
        <v>9.3717349758924318E-2</v>
      </c>
      <c r="U24" s="77">
        <f t="shared" si="16"/>
        <v>8.8457359277462677E-2</v>
      </c>
      <c r="V24" s="77"/>
      <c r="W24" s="77"/>
    </row>
    <row r="25" spans="2:23" x14ac:dyDescent="0.2">
      <c r="B25" s="76" t="s">
        <v>346</v>
      </c>
      <c r="D25" s="77">
        <f>IFERROR(D23/D19,"n/a")</f>
        <v>1.6666666666666663</v>
      </c>
      <c r="E25" s="77">
        <f>IFERROR(E23/E19,"n/a")</f>
        <v>1.6666666666666667</v>
      </c>
      <c r="F25" s="77">
        <f>IFERROR(F23/F19,"n/a")</f>
        <v>1.6599104647719443</v>
      </c>
      <c r="G25" s="77">
        <f>IFERROR(G23/G19,"n/a")</f>
        <v>1.6361901959887419</v>
      </c>
      <c r="H25" s="77">
        <f t="shared" ref="H25:J25" si="20">IFERROR(H23/H19,"n/a")</f>
        <v>1.632012630044575</v>
      </c>
      <c r="I25" s="77">
        <f t="shared" si="20"/>
        <v>1.6335634687969927</v>
      </c>
      <c r="J25" s="77">
        <f t="shared" si="20"/>
        <v>1.6426028748579609</v>
      </c>
      <c r="K25" s="77">
        <f t="shared" ref="K25" si="21">IFERROR(K23/K19,"n/a")</f>
        <v>1.6497851191192507</v>
      </c>
      <c r="L25" s="78">
        <f t="shared" ref="L25:U25" si="22">+K25</f>
        <v>1.6497851191192507</v>
      </c>
      <c r="M25" s="78">
        <f t="shared" si="22"/>
        <v>1.6497851191192507</v>
      </c>
      <c r="N25" s="78">
        <f t="shared" si="22"/>
        <v>1.6497851191192507</v>
      </c>
      <c r="O25" s="78">
        <f t="shared" si="22"/>
        <v>1.6497851191192507</v>
      </c>
      <c r="P25" s="78">
        <f t="shared" si="22"/>
        <v>1.6497851191192507</v>
      </c>
      <c r="Q25" s="78">
        <f t="shared" si="22"/>
        <v>1.6497851191192507</v>
      </c>
      <c r="R25" s="78">
        <f t="shared" si="22"/>
        <v>1.6497851191192507</v>
      </c>
      <c r="S25" s="78">
        <f t="shared" si="22"/>
        <v>1.6497851191192507</v>
      </c>
      <c r="T25" s="78">
        <f t="shared" si="22"/>
        <v>1.6497851191192507</v>
      </c>
      <c r="U25" s="78">
        <f t="shared" si="22"/>
        <v>1.6497851191192507</v>
      </c>
    </row>
    <row r="26" spans="2:23" ht="12" x14ac:dyDescent="0.35">
      <c r="B26" s="71"/>
      <c r="D26" s="139"/>
      <c r="E26" s="139"/>
      <c r="F26" s="139"/>
      <c r="G26" s="139"/>
      <c r="H26" s="140"/>
      <c r="I26" s="140"/>
      <c r="J26" s="140"/>
      <c r="K26" s="140"/>
      <c r="L26" s="140"/>
      <c r="M26" s="140"/>
      <c r="N26" s="140"/>
      <c r="O26" s="140"/>
      <c r="P26" s="140"/>
      <c r="Q26" s="140"/>
      <c r="R26" s="140"/>
      <c r="S26" s="140"/>
      <c r="T26" s="140"/>
      <c r="U26" s="140"/>
    </row>
    <row r="27" spans="2:23" ht="12" x14ac:dyDescent="0.35">
      <c r="B27" s="71" t="s">
        <v>322</v>
      </c>
      <c r="D27" s="101">
        <f>-D36</f>
        <v>0</v>
      </c>
      <c r="E27" s="101">
        <f>-E36</f>
        <v>0</v>
      </c>
      <c r="F27" s="101">
        <f t="shared" ref="F27:T27" si="23">-F36</f>
        <v>-5750.6710000000003</v>
      </c>
      <c r="G27" s="101">
        <f t="shared" si="23"/>
        <v>-7246.0879999999997</v>
      </c>
      <c r="H27" s="101">
        <f t="shared" si="23"/>
        <v>-209.17099999999999</v>
      </c>
      <c r="I27" s="101">
        <f t="shared" si="23"/>
        <v>0</v>
      </c>
      <c r="J27" s="101">
        <f t="shared" si="23"/>
        <v>0</v>
      </c>
      <c r="K27" s="101">
        <f t="shared" ref="K27" si="24">-K36</f>
        <v>0</v>
      </c>
      <c r="L27" s="101">
        <f t="shared" si="23"/>
        <v>0</v>
      </c>
      <c r="M27" s="101">
        <f t="shared" si="23"/>
        <v>0</v>
      </c>
      <c r="N27" s="101">
        <f t="shared" si="23"/>
        <v>0</v>
      </c>
      <c r="O27" s="101">
        <f t="shared" si="23"/>
        <v>0</v>
      </c>
      <c r="P27" s="101">
        <f t="shared" si="23"/>
        <v>0</v>
      </c>
      <c r="Q27" s="101">
        <f t="shared" si="23"/>
        <v>0</v>
      </c>
      <c r="R27" s="101">
        <f t="shared" si="23"/>
        <v>0</v>
      </c>
      <c r="S27" s="101">
        <f t="shared" si="23"/>
        <v>0</v>
      </c>
      <c r="T27" s="101">
        <f t="shared" si="23"/>
        <v>0</v>
      </c>
      <c r="U27" s="101">
        <f t="shared" ref="U27" si="25">-U36</f>
        <v>0</v>
      </c>
    </row>
    <row r="28" spans="2:23" ht="10.15" x14ac:dyDescent="0.2">
      <c r="B28" s="132" t="s">
        <v>323</v>
      </c>
      <c r="D28" s="137">
        <f>+D23+D27</f>
        <v>471600</v>
      </c>
      <c r="E28" s="137">
        <f>+E23+E27</f>
        <v>1006600</v>
      </c>
      <c r="F28" s="137">
        <f t="shared" ref="F28:J28" si="26">+F23+F27</f>
        <v>1661849.3289999999</v>
      </c>
      <c r="G28" s="137">
        <f t="shared" si="26"/>
        <v>2434478.3187552658</v>
      </c>
      <c r="H28" s="137">
        <f t="shared" si="26"/>
        <v>2964335.9567905753</v>
      </c>
      <c r="I28" s="137">
        <f t="shared" si="26"/>
        <v>3701315.2687979992</v>
      </c>
      <c r="J28" s="137">
        <f t="shared" si="26"/>
        <v>4407764.233365573</v>
      </c>
      <c r="K28" s="137">
        <f t="shared" ref="K28" si="27">+K23+K27</f>
        <v>5058883.6531021297</v>
      </c>
      <c r="L28" s="137">
        <f t="shared" ref="L28:T28" si="28">+L31/L33</f>
        <v>5801468.5476468056</v>
      </c>
      <c r="M28" s="137">
        <f t="shared" si="28"/>
        <v>6607581.7112588556</v>
      </c>
      <c r="N28" s="137">
        <f t="shared" si="28"/>
        <v>7476388.5273519391</v>
      </c>
      <c r="O28" s="137">
        <f t="shared" si="28"/>
        <v>8406315.6522407364</v>
      </c>
      <c r="P28" s="137">
        <f t="shared" si="28"/>
        <v>9395073.6293034367</v>
      </c>
      <c r="Q28" s="137">
        <f t="shared" si="28"/>
        <v>10439695.317044953</v>
      </c>
      <c r="R28" s="137">
        <f t="shared" si="28"/>
        <v>11536588.233507993</v>
      </c>
      <c r="S28" s="137">
        <f t="shared" si="28"/>
        <v>12681598.566328017</v>
      </c>
      <c r="T28" s="137">
        <f t="shared" si="28"/>
        <v>13870084.374670852</v>
      </c>
      <c r="U28" s="137">
        <f t="shared" ref="U28" si="29">+U31/U33</f>
        <v>15096995.411409833</v>
      </c>
    </row>
    <row r="29" spans="2:23" ht="10.15" x14ac:dyDescent="0.2">
      <c r="B29" s="92" t="s">
        <v>85</v>
      </c>
      <c r="C29" s="72"/>
      <c r="D29" s="72"/>
      <c r="E29" s="77">
        <f t="shared" ref="E29:U29" si="30">+IFERROR(E28/D28-1,"n/a")</f>
        <v>1.1344359626802376</v>
      </c>
      <c r="F29" s="77">
        <f t="shared" si="30"/>
        <v>0.65095303894297629</v>
      </c>
      <c r="G29" s="77">
        <f t="shared" si="30"/>
        <v>0.46492120330799613</v>
      </c>
      <c r="H29" s="77">
        <f t="shared" si="30"/>
        <v>0.21764730207423755</v>
      </c>
      <c r="I29" s="77">
        <f t="shared" si="30"/>
        <v>0.24861531309202078</v>
      </c>
      <c r="J29" s="77">
        <f t="shared" si="30"/>
        <v>0.19086430451437675</v>
      </c>
      <c r="K29" s="77">
        <f t="shared" si="30"/>
        <v>0.14772101801810544</v>
      </c>
      <c r="L29" s="77">
        <f t="shared" si="30"/>
        <v>0.14678829272725413</v>
      </c>
      <c r="M29" s="77">
        <f t="shared" si="30"/>
        <v>0.13894984640380859</v>
      </c>
      <c r="N29" s="77">
        <f t="shared" si="30"/>
        <v>0.13148635220245519</v>
      </c>
      <c r="O29" s="77">
        <f t="shared" si="30"/>
        <v>0.12438186184234712</v>
      </c>
      <c r="P29" s="77">
        <f t="shared" si="30"/>
        <v>0.11762084817730378</v>
      </c>
      <c r="Q29" s="77">
        <f t="shared" si="30"/>
        <v>0.11118823853421644</v>
      </c>
      <c r="R29" s="77">
        <f t="shared" si="30"/>
        <v>0.10506943767526788</v>
      </c>
      <c r="S29" s="77">
        <f t="shared" si="30"/>
        <v>9.9250342444774597E-2</v>
      </c>
      <c r="T29" s="77">
        <f t="shared" si="30"/>
        <v>9.3717349758924318E-2</v>
      </c>
      <c r="U29" s="77">
        <f t="shared" si="30"/>
        <v>8.8457359277462677E-2</v>
      </c>
      <c r="V29" s="77"/>
      <c r="W29" s="77"/>
    </row>
    <row r="30" spans="2:23" ht="10.15" x14ac:dyDescent="0.2">
      <c r="B30" s="71"/>
      <c r="D30" s="137"/>
      <c r="E30" s="137"/>
      <c r="F30" s="137"/>
      <c r="G30" s="137"/>
      <c r="H30" s="137"/>
      <c r="I30" s="137"/>
      <c r="J30" s="137"/>
      <c r="K30" s="137"/>
      <c r="L30" s="137"/>
      <c r="M30" s="137"/>
      <c r="N30" s="137"/>
      <c r="O30" s="137"/>
      <c r="P30" s="137"/>
      <c r="Q30" s="137"/>
      <c r="R30" s="137"/>
      <c r="S30" s="137"/>
      <c r="T30" s="137"/>
      <c r="U30" s="137"/>
    </row>
    <row r="31" spans="2:23" ht="10.15" x14ac:dyDescent="0.2">
      <c r="B31" s="71" t="s">
        <v>314</v>
      </c>
      <c r="D31" s="74">
        <f>+D35</f>
        <v>13119.990000000002</v>
      </c>
      <c r="E31" s="74">
        <f>+E35</f>
        <v>30141.885999999999</v>
      </c>
      <c r="F31" s="74">
        <f t="shared" ref="F31:T31" si="31">+F35</f>
        <v>53741.194000000003</v>
      </c>
      <c r="G31" s="74">
        <f t="shared" si="31"/>
        <v>86703.850999999995</v>
      </c>
      <c r="H31" s="74">
        <f t="shared" si="31"/>
        <v>129913.15793149809</v>
      </c>
      <c r="I31" s="74">
        <f t="shared" si="31"/>
        <v>196165.52928097005</v>
      </c>
      <c r="J31" s="74">
        <f t="shared" si="31"/>
        <v>244136.81758436767</v>
      </c>
      <c r="K31" s="74">
        <f t="shared" ref="K31" si="32">+K35</f>
        <v>269106.55598953593</v>
      </c>
      <c r="L31" s="74">
        <f t="shared" si="31"/>
        <v>308608.2479049511</v>
      </c>
      <c r="M31" s="74">
        <f t="shared" si="31"/>
        <v>351489.31655029254</v>
      </c>
      <c r="N31" s="74">
        <f t="shared" si="31"/>
        <v>397705.36462162458</v>
      </c>
      <c r="O31" s="74">
        <f t="shared" si="31"/>
        <v>447172.69833795179</v>
      </c>
      <c r="P31" s="74">
        <f t="shared" si="31"/>
        <v>499769.53039819526</v>
      </c>
      <c r="Q31" s="74">
        <f t="shared" si="31"/>
        <v>555338.02415624307</v>
      </c>
      <c r="R31" s="74">
        <f t="shared" si="31"/>
        <v>613687.07807403384</v>
      </c>
      <c r="S31" s="74">
        <f t="shared" si="31"/>
        <v>674595.73072681471</v>
      </c>
      <c r="T31" s="74">
        <f t="shared" si="31"/>
        <v>737817.05476921669</v>
      </c>
      <c r="U31" s="74">
        <f t="shared" ref="U31" si="33">+U35</f>
        <v>803082.40306397667</v>
      </c>
      <c r="V31" s="143"/>
    </row>
    <row r="32" spans="2:23" ht="10.15" x14ac:dyDescent="0.2">
      <c r="B32" s="76" t="s">
        <v>85</v>
      </c>
      <c r="C32" s="72"/>
      <c r="D32" s="72"/>
      <c r="E32" s="77">
        <f t="shared" ref="E32:U32" si="34">+IFERROR(E31/D31-1,"n/a")</f>
        <v>1.2974015986292669</v>
      </c>
      <c r="F32" s="77">
        <f t="shared" si="34"/>
        <v>0.78294065606909946</v>
      </c>
      <c r="G32" s="77">
        <f t="shared" si="34"/>
        <v>0.6133592230942988</v>
      </c>
      <c r="H32" s="77">
        <f t="shared" si="34"/>
        <v>0.49835510687406614</v>
      </c>
      <c r="I32" s="77">
        <f t="shared" si="34"/>
        <v>0.50997429670985417</v>
      </c>
      <c r="J32" s="77">
        <f t="shared" si="34"/>
        <v>0.2445449436464846</v>
      </c>
      <c r="K32" s="77">
        <f t="shared" si="34"/>
        <v>0.10227764354526059</v>
      </c>
      <c r="L32" s="77">
        <f t="shared" si="34"/>
        <v>0.14678829272725391</v>
      </c>
      <c r="M32" s="77">
        <f t="shared" si="34"/>
        <v>0.13894984640380859</v>
      </c>
      <c r="N32" s="77">
        <f t="shared" si="34"/>
        <v>0.13148635220245519</v>
      </c>
      <c r="O32" s="77">
        <f t="shared" si="34"/>
        <v>0.12438186184234712</v>
      </c>
      <c r="P32" s="77">
        <f t="shared" si="34"/>
        <v>0.11762084817730378</v>
      </c>
      <c r="Q32" s="77">
        <f t="shared" si="34"/>
        <v>0.11118823853421622</v>
      </c>
      <c r="R32" s="77">
        <f t="shared" si="34"/>
        <v>0.10506943767526788</v>
      </c>
      <c r="S32" s="77">
        <f t="shared" si="34"/>
        <v>9.9250342444774375E-2</v>
      </c>
      <c r="T32" s="77">
        <f t="shared" si="34"/>
        <v>9.3717349758924318E-2</v>
      </c>
      <c r="U32" s="77">
        <f t="shared" si="34"/>
        <v>8.8457359277462677E-2</v>
      </c>
      <c r="V32" s="75"/>
      <c r="W32" s="72"/>
    </row>
    <row r="33" spans="2:23" x14ac:dyDescent="0.2">
      <c r="B33" s="76" t="s">
        <v>347</v>
      </c>
      <c r="D33" s="153">
        <f t="shared" ref="D33:J33" si="35">IFERROR(D31/D28,"n/a")</f>
        <v>2.782016539440204E-2</v>
      </c>
      <c r="E33" s="154">
        <f t="shared" si="35"/>
        <v>2.9944253924100932E-2</v>
      </c>
      <c r="F33" s="154">
        <f t="shared" si="35"/>
        <v>3.2338186779145732E-2</v>
      </c>
      <c r="G33" s="154">
        <f t="shared" si="35"/>
        <v>3.5614961255572467E-2</v>
      </c>
      <c r="H33" s="154">
        <f t="shared" si="35"/>
        <v>4.3825382758623743E-2</v>
      </c>
      <c r="I33" s="154">
        <f t="shared" si="35"/>
        <v>5.2998870681090271E-2</v>
      </c>
      <c r="J33" s="154">
        <f t="shared" si="35"/>
        <v>5.5387902950053122E-2</v>
      </c>
      <c r="K33" s="154">
        <f t="shared" ref="K33" si="36">IFERROR(K31/K28,"n/a")</f>
        <v>5.319484978163485E-2</v>
      </c>
      <c r="L33" s="85">
        <f>+K33</f>
        <v>5.319484978163485E-2</v>
      </c>
      <c r="M33" s="85">
        <f t="shared" ref="M33:U33" si="37">+L33</f>
        <v>5.319484978163485E-2</v>
      </c>
      <c r="N33" s="85">
        <f t="shared" si="37"/>
        <v>5.319484978163485E-2</v>
      </c>
      <c r="O33" s="85">
        <f t="shared" si="37"/>
        <v>5.319484978163485E-2</v>
      </c>
      <c r="P33" s="85">
        <f t="shared" si="37"/>
        <v>5.319484978163485E-2</v>
      </c>
      <c r="Q33" s="85">
        <f t="shared" si="37"/>
        <v>5.319484978163485E-2</v>
      </c>
      <c r="R33" s="85">
        <f t="shared" si="37"/>
        <v>5.319484978163485E-2</v>
      </c>
      <c r="S33" s="85">
        <f t="shared" si="37"/>
        <v>5.319484978163485E-2</v>
      </c>
      <c r="T33" s="85">
        <f t="shared" si="37"/>
        <v>5.319484978163485E-2</v>
      </c>
      <c r="U33" s="85">
        <f t="shared" si="37"/>
        <v>5.319484978163485E-2</v>
      </c>
    </row>
    <row r="34" spans="2:23" ht="10.15" x14ac:dyDescent="0.2">
      <c r="B34" s="132"/>
      <c r="D34" s="73"/>
      <c r="E34" s="73"/>
      <c r="F34" s="73"/>
      <c r="G34" s="73"/>
      <c r="H34" s="73"/>
      <c r="I34" s="73"/>
      <c r="J34" s="73"/>
      <c r="K34" s="73"/>
      <c r="L34" s="73"/>
      <c r="M34" s="73"/>
      <c r="N34" s="73"/>
      <c r="O34" s="73"/>
      <c r="P34" s="73"/>
      <c r="Q34" s="73"/>
      <c r="R34" s="73"/>
      <c r="S34" s="73"/>
      <c r="T34" s="73"/>
      <c r="U34" s="73"/>
      <c r="V34" s="143"/>
    </row>
    <row r="35" spans="2:23" ht="10.15" x14ac:dyDescent="0.2">
      <c r="B35" s="71" t="s">
        <v>314</v>
      </c>
      <c r="D35" s="74">
        <f>+D37-D36</f>
        <v>13119.990000000002</v>
      </c>
      <c r="E35" s="74">
        <f>+E37-E36</f>
        <v>30141.885999999999</v>
      </c>
      <c r="F35" s="74">
        <f t="shared" ref="F35:T35" si="38">+F37-F36</f>
        <v>53741.194000000003</v>
      </c>
      <c r="G35" s="74">
        <f t="shared" si="38"/>
        <v>86703.850999999995</v>
      </c>
      <c r="H35" s="74">
        <f t="shared" si="38"/>
        <v>129913.15793149809</v>
      </c>
      <c r="I35" s="74">
        <f t="shared" si="38"/>
        <v>196165.52928097005</v>
      </c>
      <c r="J35" s="74">
        <f t="shared" si="38"/>
        <v>244136.81758436767</v>
      </c>
      <c r="K35" s="74">
        <f t="shared" ref="K35" si="39">+K37-K36</f>
        <v>269106.55598953593</v>
      </c>
      <c r="L35" s="74">
        <f t="shared" si="38"/>
        <v>308608.2479049511</v>
      </c>
      <c r="M35" s="74">
        <f t="shared" si="38"/>
        <v>351489.31655029254</v>
      </c>
      <c r="N35" s="74">
        <f t="shared" si="38"/>
        <v>397705.36462162458</v>
      </c>
      <c r="O35" s="74">
        <f t="shared" si="38"/>
        <v>447172.69833795179</v>
      </c>
      <c r="P35" s="74">
        <f t="shared" si="38"/>
        <v>499769.53039819526</v>
      </c>
      <c r="Q35" s="74">
        <f t="shared" si="38"/>
        <v>555338.02415624307</v>
      </c>
      <c r="R35" s="74">
        <f t="shared" si="38"/>
        <v>613687.07807403384</v>
      </c>
      <c r="S35" s="74">
        <f t="shared" si="38"/>
        <v>674595.73072681471</v>
      </c>
      <c r="T35" s="74">
        <f t="shared" si="38"/>
        <v>737817.05476921669</v>
      </c>
      <c r="U35" s="74">
        <f t="shared" ref="U35" si="40">+U37-U36</f>
        <v>803082.40306397667</v>
      </c>
      <c r="V35" s="143"/>
    </row>
    <row r="36" spans="2:23" ht="12" x14ac:dyDescent="0.35">
      <c r="B36" s="71" t="s">
        <v>315</v>
      </c>
      <c r="D36" s="88">
        <f>+'Simple Model - Case 1'!D12</f>
        <v>0</v>
      </c>
      <c r="E36" s="88">
        <f>+'Simple Model - Case 1'!E12</f>
        <v>0</v>
      </c>
      <c r="F36" s="88">
        <f>+'Simple Model - Case 1'!F12</f>
        <v>5750.6710000000003</v>
      </c>
      <c r="G36" s="88">
        <f>+'Simple Model - Case 1'!G12</f>
        <v>7246.0879999999997</v>
      </c>
      <c r="H36" s="88">
        <f>+'Simple Model - Case 1'!H12</f>
        <v>209.17099999999999</v>
      </c>
      <c r="I36" s="88">
        <f>+'Simple Model - Case 1'!I12</f>
        <v>0</v>
      </c>
      <c r="J36" s="88">
        <f>+'Simple Model - Case 1'!J12</f>
        <v>0</v>
      </c>
      <c r="K36" s="88">
        <f>+'Simple Model - Case 1'!K12</f>
        <v>0</v>
      </c>
      <c r="L36" s="88">
        <f>+'Simple Model - Case 1'!L12</f>
        <v>0</v>
      </c>
      <c r="M36" s="88">
        <f>+'Simple Model - Case 1'!M12</f>
        <v>0</v>
      </c>
      <c r="N36" s="88">
        <f>+'Simple Model - Case 1'!N12</f>
        <v>0</v>
      </c>
      <c r="O36" s="88">
        <f>+'Simple Model - Case 1'!O12</f>
        <v>0</v>
      </c>
      <c r="P36" s="88">
        <f>+'Simple Model - Case 1'!P12</f>
        <v>0</v>
      </c>
      <c r="Q36" s="88">
        <f>+'Simple Model - Case 1'!Q12</f>
        <v>0</v>
      </c>
      <c r="R36" s="88">
        <f>+'Simple Model - Case 1'!R12</f>
        <v>0</v>
      </c>
      <c r="S36" s="88">
        <f>+'Simple Model - Case 1'!S12</f>
        <v>0</v>
      </c>
      <c r="T36" s="88">
        <f>+'Simple Model - Case 1'!T12</f>
        <v>0</v>
      </c>
      <c r="U36" s="88">
        <f>+'Simple Model - Case 1'!U12</f>
        <v>0</v>
      </c>
    </row>
    <row r="37" spans="2:23" ht="10.15" x14ac:dyDescent="0.2">
      <c r="B37" s="132" t="s">
        <v>316</v>
      </c>
      <c r="D37" s="74">
        <f>+D44</f>
        <v>13119.990000000002</v>
      </c>
      <c r="E37" s="74">
        <f>+E44</f>
        <v>30141.885999999999</v>
      </c>
      <c r="F37" s="74">
        <f t="shared" ref="F37:T37" si="41">+F44</f>
        <v>59491.865000000005</v>
      </c>
      <c r="G37" s="74">
        <f t="shared" si="41"/>
        <v>93949.938999999998</v>
      </c>
      <c r="H37" s="74">
        <f t="shared" si="41"/>
        <v>130122.32893149809</v>
      </c>
      <c r="I37" s="74">
        <f t="shared" si="41"/>
        <v>196165.52928097005</v>
      </c>
      <c r="J37" s="74">
        <f t="shared" si="41"/>
        <v>244136.81758436767</v>
      </c>
      <c r="K37" s="74">
        <f t="shared" ref="K37" si="42">+K44</f>
        <v>269106.55598953593</v>
      </c>
      <c r="L37" s="74">
        <f t="shared" si="41"/>
        <v>308608.2479049511</v>
      </c>
      <c r="M37" s="74">
        <f t="shared" si="41"/>
        <v>351489.31655029254</v>
      </c>
      <c r="N37" s="74">
        <f t="shared" si="41"/>
        <v>397705.36462162458</v>
      </c>
      <c r="O37" s="74">
        <f t="shared" si="41"/>
        <v>447172.69833795179</v>
      </c>
      <c r="P37" s="74">
        <f t="shared" si="41"/>
        <v>499769.53039819526</v>
      </c>
      <c r="Q37" s="74">
        <f t="shared" si="41"/>
        <v>555338.02415624307</v>
      </c>
      <c r="R37" s="74">
        <f t="shared" si="41"/>
        <v>613687.07807403384</v>
      </c>
      <c r="S37" s="74">
        <f t="shared" si="41"/>
        <v>674595.73072681471</v>
      </c>
      <c r="T37" s="74">
        <f t="shared" si="41"/>
        <v>737817.05476921669</v>
      </c>
      <c r="U37" s="74">
        <f t="shared" ref="U37" si="43">+U44</f>
        <v>803082.40306397667</v>
      </c>
    </row>
    <row r="38" spans="2:23" ht="10.15" x14ac:dyDescent="0.2">
      <c r="B38" s="92" t="s">
        <v>85</v>
      </c>
      <c r="C38" s="72"/>
      <c r="D38" s="72"/>
      <c r="E38" s="77">
        <f t="shared" ref="E38:U38" si="44">+IFERROR(E37/D37-1,"n/a")</f>
        <v>1.2974015986292669</v>
      </c>
      <c r="F38" s="77">
        <f t="shared" si="44"/>
        <v>0.97372735733921911</v>
      </c>
      <c r="G38" s="77">
        <f t="shared" si="44"/>
        <v>0.57920648478577674</v>
      </c>
      <c r="H38" s="77">
        <f t="shared" si="44"/>
        <v>0.38501770534942126</v>
      </c>
      <c r="I38" s="77">
        <f t="shared" si="44"/>
        <v>0.50754702049822598</v>
      </c>
      <c r="J38" s="77">
        <f t="shared" si="44"/>
        <v>0.2445449436464846</v>
      </c>
      <c r="K38" s="77">
        <f t="shared" si="44"/>
        <v>0.10227764354526059</v>
      </c>
      <c r="L38" s="77">
        <f t="shared" si="44"/>
        <v>0.14678829272725391</v>
      </c>
      <c r="M38" s="77">
        <f t="shared" si="44"/>
        <v>0.13894984640380859</v>
      </c>
      <c r="N38" s="77">
        <f t="shared" si="44"/>
        <v>0.13148635220245519</v>
      </c>
      <c r="O38" s="77">
        <f t="shared" si="44"/>
        <v>0.12438186184234712</v>
      </c>
      <c r="P38" s="77">
        <f t="shared" si="44"/>
        <v>0.11762084817730378</v>
      </c>
      <c r="Q38" s="77">
        <f t="shared" si="44"/>
        <v>0.11118823853421622</v>
      </c>
      <c r="R38" s="77">
        <f t="shared" si="44"/>
        <v>0.10506943767526788</v>
      </c>
      <c r="S38" s="77">
        <f t="shared" si="44"/>
        <v>9.9250342444774375E-2</v>
      </c>
      <c r="T38" s="77">
        <f t="shared" si="44"/>
        <v>9.3717349758924318E-2</v>
      </c>
      <c r="U38" s="77">
        <f t="shared" si="44"/>
        <v>8.8457359277462677E-2</v>
      </c>
      <c r="V38" s="75"/>
      <c r="W38" s="72"/>
    </row>
    <row r="39" spans="2:23" ht="10.15" x14ac:dyDescent="0.2">
      <c r="B39" s="132"/>
      <c r="D39" s="73"/>
      <c r="E39" s="73"/>
      <c r="F39" s="73"/>
      <c r="G39" s="73"/>
      <c r="H39" s="73"/>
      <c r="I39" s="73"/>
      <c r="J39" s="73"/>
      <c r="K39" s="73"/>
      <c r="L39" s="73"/>
      <c r="M39" s="73"/>
      <c r="N39" s="73"/>
      <c r="O39" s="73"/>
      <c r="P39" s="73"/>
      <c r="Q39" s="73"/>
      <c r="R39" s="73"/>
      <c r="S39" s="73"/>
      <c r="T39" s="73"/>
      <c r="U39" s="73"/>
    </row>
    <row r="40" spans="2:23" ht="10.15" x14ac:dyDescent="0.2">
      <c r="B40" s="61" t="s">
        <v>317</v>
      </c>
      <c r="D40" s="74">
        <f>+D45</f>
        <v>0</v>
      </c>
      <c r="E40" s="74">
        <f>+E45</f>
        <v>0</v>
      </c>
      <c r="F40" s="74">
        <f t="shared" ref="F40:T40" si="45">+F45</f>
        <v>0</v>
      </c>
      <c r="G40" s="74">
        <f t="shared" si="45"/>
        <v>0</v>
      </c>
      <c r="H40" s="74">
        <f t="shared" si="45"/>
        <v>435.26006850191163</v>
      </c>
      <c r="I40" s="74">
        <f t="shared" si="45"/>
        <v>51473.675719029954</v>
      </c>
      <c r="J40" s="74">
        <f t="shared" si="45"/>
        <v>148959.47374061254</v>
      </c>
      <c r="K40" s="74">
        <f t="shared" ref="K40" si="46">+K45</f>
        <v>189400.50392428774</v>
      </c>
      <c r="L40" s="74">
        <f t="shared" si="45"/>
        <v>189400.50392428774</v>
      </c>
      <c r="M40" s="74">
        <f t="shared" si="45"/>
        <v>189400.50392428774</v>
      </c>
      <c r="N40" s="74">
        <f t="shared" si="45"/>
        <v>189400.50392428774</v>
      </c>
      <c r="O40" s="74">
        <f t="shared" si="45"/>
        <v>189400.50392428774</v>
      </c>
      <c r="P40" s="74">
        <f t="shared" si="45"/>
        <v>189400.50392428774</v>
      </c>
      <c r="Q40" s="74">
        <f t="shared" si="45"/>
        <v>189400.50392428774</v>
      </c>
      <c r="R40" s="74">
        <f t="shared" si="45"/>
        <v>189400.50392428774</v>
      </c>
      <c r="S40" s="74">
        <f t="shared" si="45"/>
        <v>189400.50392428774</v>
      </c>
      <c r="T40" s="74">
        <f t="shared" si="45"/>
        <v>189400.50392428774</v>
      </c>
      <c r="U40" s="74">
        <f t="shared" ref="U40" si="47">+U45</f>
        <v>189400.50392428774</v>
      </c>
    </row>
    <row r="41" spans="2:23" ht="10.15" x14ac:dyDescent="0.2">
      <c r="B41" s="76" t="s">
        <v>85</v>
      </c>
      <c r="C41" s="72"/>
      <c r="D41" s="72"/>
      <c r="E41" s="142" t="str">
        <f t="shared" ref="E41:U41" si="48">+IFERROR(E40/D40-1,"n/a")</f>
        <v>n/a</v>
      </c>
      <c r="F41" s="142" t="str">
        <f t="shared" si="48"/>
        <v>n/a</v>
      </c>
      <c r="G41" s="142" t="str">
        <f t="shared" si="48"/>
        <v>n/a</v>
      </c>
      <c r="H41" s="142" t="str">
        <f t="shared" si="48"/>
        <v>n/a</v>
      </c>
      <c r="I41" s="142">
        <f t="shared" si="48"/>
        <v>117.25958649547904</v>
      </c>
      <c r="J41" s="142">
        <f t="shared" si="48"/>
        <v>1.8938961840166746</v>
      </c>
      <c r="K41" s="142">
        <f t="shared" si="48"/>
        <v>0.27149015210738692</v>
      </c>
      <c r="L41" s="142">
        <f t="shared" si="48"/>
        <v>0</v>
      </c>
      <c r="M41" s="142">
        <f t="shared" si="48"/>
        <v>0</v>
      </c>
      <c r="N41" s="142">
        <f t="shared" si="48"/>
        <v>0</v>
      </c>
      <c r="O41" s="142">
        <f t="shared" si="48"/>
        <v>0</v>
      </c>
      <c r="P41" s="142">
        <f t="shared" si="48"/>
        <v>0</v>
      </c>
      <c r="Q41" s="142">
        <f t="shared" si="48"/>
        <v>0</v>
      </c>
      <c r="R41" s="142">
        <f t="shared" si="48"/>
        <v>0</v>
      </c>
      <c r="S41" s="142">
        <f t="shared" si="48"/>
        <v>0</v>
      </c>
      <c r="T41" s="142">
        <f t="shared" si="48"/>
        <v>0</v>
      </c>
      <c r="U41" s="142">
        <f t="shared" si="48"/>
        <v>0</v>
      </c>
      <c r="V41" s="75"/>
      <c r="W41" s="72"/>
    </row>
    <row r="42" spans="2:23" x14ac:dyDescent="0.2">
      <c r="B42" s="76" t="s">
        <v>471</v>
      </c>
      <c r="C42" s="72"/>
      <c r="D42" s="72"/>
      <c r="E42" s="98">
        <f>+'Historical Financials'!AR226*1000</f>
        <v>0</v>
      </c>
      <c r="F42" s="98">
        <f>+'Historical Financials'!AS226*1000</f>
        <v>0</v>
      </c>
      <c r="G42" s="98">
        <f>+'Historical Financials'!AT226*1000</f>
        <v>0</v>
      </c>
      <c r="H42" s="98">
        <f>+'Historical Financials'!AU226*1000</f>
        <v>2203.7044209301966</v>
      </c>
      <c r="I42" s="98">
        <f>+'Historical Financials'!AV226*1000</f>
        <v>128324.07413545038</v>
      </c>
      <c r="J42" s="98">
        <f>+'Historical Financials'!AW226*1000</f>
        <v>323761.54516972258</v>
      </c>
      <c r="K42" s="98">
        <f>+'Historical Financials'!AX226*1000</f>
        <v>420890.00872063934</v>
      </c>
      <c r="L42" s="189">
        <f t="shared" ref="L42:U42" si="49">+L40/0.45</f>
        <v>420890.00872063939</v>
      </c>
      <c r="M42" s="189">
        <f t="shared" si="49"/>
        <v>420890.00872063939</v>
      </c>
      <c r="N42" s="189">
        <f t="shared" si="49"/>
        <v>420890.00872063939</v>
      </c>
      <c r="O42" s="189">
        <f t="shared" si="49"/>
        <v>420890.00872063939</v>
      </c>
      <c r="P42" s="189">
        <f t="shared" si="49"/>
        <v>420890.00872063939</v>
      </c>
      <c r="Q42" s="189">
        <f t="shared" si="49"/>
        <v>420890.00872063939</v>
      </c>
      <c r="R42" s="189">
        <f t="shared" si="49"/>
        <v>420890.00872063939</v>
      </c>
      <c r="S42" s="189">
        <f t="shared" si="49"/>
        <v>420890.00872063939</v>
      </c>
      <c r="T42" s="189">
        <f t="shared" si="49"/>
        <v>420890.00872063939</v>
      </c>
      <c r="U42" s="189">
        <f t="shared" si="49"/>
        <v>420890.00872063939</v>
      </c>
      <c r="V42" s="75"/>
      <c r="W42" s="72"/>
    </row>
    <row r="43" spans="2:23" ht="12" x14ac:dyDescent="0.35">
      <c r="B43" s="71"/>
      <c r="D43" s="88"/>
      <c r="E43" s="88"/>
      <c r="F43" s="88"/>
      <c r="G43" s="88"/>
      <c r="H43" s="88"/>
      <c r="I43" s="88"/>
      <c r="J43" s="88"/>
      <c r="K43" s="88"/>
      <c r="L43" s="88"/>
      <c r="M43" s="88"/>
      <c r="N43" s="88"/>
      <c r="O43" s="88"/>
      <c r="P43" s="88"/>
      <c r="Q43" s="88"/>
      <c r="R43" s="88"/>
      <c r="S43" s="88"/>
      <c r="T43" s="88"/>
      <c r="U43" s="88"/>
    </row>
    <row r="44" spans="2:23" ht="10.15" x14ac:dyDescent="0.2">
      <c r="B44" s="61" t="s">
        <v>316</v>
      </c>
      <c r="D44" s="74">
        <f>+D46-D45</f>
        <v>13119.990000000002</v>
      </c>
      <c r="E44" s="74">
        <f>+E46-E45</f>
        <v>30141.885999999999</v>
      </c>
      <c r="F44" s="74">
        <f t="shared" ref="F44:T44" si="50">+F46-F45</f>
        <v>59491.865000000005</v>
      </c>
      <c r="G44" s="74">
        <f t="shared" si="50"/>
        <v>93949.938999999998</v>
      </c>
      <c r="H44" s="74">
        <f t="shared" si="50"/>
        <v>130122.32893149809</v>
      </c>
      <c r="I44" s="74">
        <f t="shared" si="50"/>
        <v>196165.52928097005</v>
      </c>
      <c r="J44" s="74">
        <f t="shared" si="50"/>
        <v>244136.81758436767</v>
      </c>
      <c r="K44" s="74">
        <f t="shared" ref="K44" si="51">+K46-K45</f>
        <v>269106.55598953593</v>
      </c>
      <c r="L44" s="74">
        <f t="shared" si="50"/>
        <v>308608.2479049511</v>
      </c>
      <c r="M44" s="74">
        <f t="shared" si="50"/>
        <v>351489.31655029254</v>
      </c>
      <c r="N44" s="74">
        <f t="shared" si="50"/>
        <v>397705.36462162458</v>
      </c>
      <c r="O44" s="74">
        <f t="shared" si="50"/>
        <v>447172.69833795179</v>
      </c>
      <c r="P44" s="74">
        <f t="shared" si="50"/>
        <v>499769.53039819526</v>
      </c>
      <c r="Q44" s="74">
        <f t="shared" si="50"/>
        <v>555338.02415624307</v>
      </c>
      <c r="R44" s="74">
        <f t="shared" si="50"/>
        <v>613687.07807403384</v>
      </c>
      <c r="S44" s="74">
        <f t="shared" si="50"/>
        <v>674595.73072681471</v>
      </c>
      <c r="T44" s="74">
        <f t="shared" si="50"/>
        <v>737817.05476921669</v>
      </c>
      <c r="U44" s="74">
        <f t="shared" ref="U44" si="52">+U46-U45</f>
        <v>803082.40306397667</v>
      </c>
    </row>
    <row r="45" spans="2:23" ht="12" x14ac:dyDescent="0.35">
      <c r="B45" s="61" t="s">
        <v>317</v>
      </c>
      <c r="D45" s="88">
        <f>+'Simple Model - Case 1'!D14</f>
        <v>0</v>
      </c>
      <c r="E45" s="88">
        <f>+'Simple Model - Case 1'!E14</f>
        <v>0</v>
      </c>
      <c r="F45" s="88">
        <f>+'Simple Model - Case 1'!F14</f>
        <v>0</v>
      </c>
      <c r="G45" s="88">
        <f>+'Simple Model - Case 1'!G14</f>
        <v>0</v>
      </c>
      <c r="H45" s="88">
        <f>+'Simple Model - Case 1'!H14</f>
        <v>435.26006850191163</v>
      </c>
      <c r="I45" s="88">
        <f>+'Simple Model - Case 1'!I14</f>
        <v>51473.675719029954</v>
      </c>
      <c r="J45" s="88">
        <f>+'Simple Model - Case 1'!J14</f>
        <v>148959.47374061254</v>
      </c>
      <c r="K45" s="88">
        <f>+'Simple Model - Case 1'!K14</f>
        <v>189400.50392428774</v>
      </c>
      <c r="L45" s="88">
        <f>+'Simple Model - Case 1'!L14</f>
        <v>189400.50392428774</v>
      </c>
      <c r="M45" s="88">
        <f>+'Simple Model - Case 1'!M14</f>
        <v>189400.50392428774</v>
      </c>
      <c r="N45" s="88">
        <f>+'Simple Model - Case 1'!N14</f>
        <v>189400.50392428774</v>
      </c>
      <c r="O45" s="88">
        <f>+'Simple Model - Case 1'!O14</f>
        <v>189400.50392428774</v>
      </c>
      <c r="P45" s="88">
        <f>+'Simple Model - Case 1'!P14</f>
        <v>189400.50392428774</v>
      </c>
      <c r="Q45" s="88">
        <f>+'Simple Model - Case 1'!Q14</f>
        <v>189400.50392428774</v>
      </c>
      <c r="R45" s="88">
        <f>+'Simple Model - Case 1'!R14</f>
        <v>189400.50392428774</v>
      </c>
      <c r="S45" s="88">
        <f>+'Simple Model - Case 1'!S14</f>
        <v>189400.50392428774</v>
      </c>
      <c r="T45" s="88">
        <f>+'Simple Model - Case 1'!T14</f>
        <v>189400.50392428774</v>
      </c>
      <c r="U45" s="88">
        <f>+'Simple Model - Case 1'!U14</f>
        <v>189400.50392428774</v>
      </c>
    </row>
    <row r="46" spans="2:23" ht="10.15" x14ac:dyDescent="0.2">
      <c r="B46" s="132" t="s">
        <v>318</v>
      </c>
      <c r="D46" s="73">
        <f>+'Simple Model - Case 1'!D15</f>
        <v>13119.990000000002</v>
      </c>
      <c r="E46" s="73">
        <f>+'Simple Model - Case 1'!E15</f>
        <v>30141.885999999999</v>
      </c>
      <c r="F46" s="73">
        <f>+'Simple Model - Case 1'!F15</f>
        <v>59491.865000000005</v>
      </c>
      <c r="G46" s="73">
        <f>+'Simple Model - Case 1'!G15</f>
        <v>93949.938999999998</v>
      </c>
      <c r="H46" s="73">
        <f>+'Simple Model - Case 1'!H15</f>
        <v>130557.58900000001</v>
      </c>
      <c r="I46" s="73">
        <f>+'Simple Model - Case 1'!I15</f>
        <v>247639.20499999999</v>
      </c>
      <c r="J46" s="73">
        <f>+'Simple Model - Case 1'!J15</f>
        <v>393096.29132498021</v>
      </c>
      <c r="K46" s="73">
        <f>+'Simple Model - Case 1'!K15</f>
        <v>458507.05991382367</v>
      </c>
      <c r="L46" s="73">
        <f>+'Simple Model - Case 1'!L15</f>
        <v>498008.75182923884</v>
      </c>
      <c r="M46" s="73">
        <f>+'Simple Model - Case 1'!M15</f>
        <v>540889.82047458028</v>
      </c>
      <c r="N46" s="73">
        <f>+'Simple Model - Case 1'!N15</f>
        <v>587105.86854591232</v>
      </c>
      <c r="O46" s="73">
        <f>+'Simple Model - Case 1'!O15</f>
        <v>636573.20226223953</v>
      </c>
      <c r="P46" s="73">
        <f>+'Simple Model - Case 1'!P15</f>
        <v>689170.034322483</v>
      </c>
      <c r="Q46" s="73">
        <f>+'Simple Model - Case 1'!Q15</f>
        <v>744738.52808053081</v>
      </c>
      <c r="R46" s="73">
        <f>+'Simple Model - Case 1'!R15</f>
        <v>803087.58199832158</v>
      </c>
      <c r="S46" s="73">
        <f>+'Simple Model - Case 1'!S15</f>
        <v>863996.23465110245</v>
      </c>
      <c r="T46" s="73">
        <f>+'Simple Model - Case 1'!T15</f>
        <v>927217.55869350443</v>
      </c>
      <c r="U46" s="73">
        <f>+'Simple Model - Case 1'!U15</f>
        <v>992482.90698826441</v>
      </c>
      <c r="V46" s="75"/>
      <c r="W46" s="72"/>
    </row>
    <row r="47" spans="2:23" ht="10.15" x14ac:dyDescent="0.2">
      <c r="B47" s="92" t="s">
        <v>85</v>
      </c>
      <c r="C47" s="72"/>
      <c r="D47" s="72"/>
      <c r="E47" s="142">
        <f t="shared" ref="E47:U47" si="53">+IFERROR(E46/D46-1,"n/a")</f>
        <v>1.2974015986292669</v>
      </c>
      <c r="F47" s="142">
        <f t="shared" si="53"/>
        <v>0.97372735733921911</v>
      </c>
      <c r="G47" s="142">
        <f t="shared" si="53"/>
        <v>0.57920648478577674</v>
      </c>
      <c r="H47" s="142">
        <f t="shared" si="53"/>
        <v>0.38965059892162368</v>
      </c>
      <c r="I47" s="142">
        <f t="shared" si="53"/>
        <v>0.89678138893940496</v>
      </c>
      <c r="J47" s="142">
        <f t="shared" si="53"/>
        <v>0.58737503346846975</v>
      </c>
      <c r="K47" s="142">
        <f t="shared" si="53"/>
        <v>0.16639884433498042</v>
      </c>
      <c r="L47" s="142">
        <f t="shared" si="53"/>
        <v>8.615285427194852E-2</v>
      </c>
      <c r="M47" s="142">
        <f t="shared" si="53"/>
        <v>8.610505033864313E-2</v>
      </c>
      <c r="N47" s="142">
        <f t="shared" si="53"/>
        <v>8.5444477455282497E-2</v>
      </c>
      <c r="O47" s="142">
        <f t="shared" si="53"/>
        <v>8.4256241278669597E-2</v>
      </c>
      <c r="P47" s="142">
        <f t="shared" si="53"/>
        <v>8.262495479439913E-2</v>
      </c>
      <c r="Q47" s="142">
        <f t="shared" si="53"/>
        <v>8.0631035870090795E-2</v>
      </c>
      <c r="R47" s="142">
        <f t="shared" si="53"/>
        <v>7.8348375594556652E-2</v>
      </c>
      <c r="S47" s="142">
        <f t="shared" si="53"/>
        <v>7.5843101074009933E-2</v>
      </c>
      <c r="T47" s="142">
        <f t="shared" si="53"/>
        <v>7.317314764448235E-2</v>
      </c>
      <c r="U47" s="142">
        <f t="shared" si="53"/>
        <v>7.0388386935555936E-2</v>
      </c>
      <c r="V47" s="75"/>
      <c r="W47" s="72"/>
    </row>
    <row r="48" spans="2:23" ht="10.15" x14ac:dyDescent="0.2">
      <c r="B48" s="92"/>
      <c r="C48" s="72"/>
      <c r="D48" s="72"/>
      <c r="E48" s="142"/>
      <c r="F48" s="142"/>
      <c r="G48" s="142"/>
      <c r="H48" s="142"/>
      <c r="I48" s="142"/>
      <c r="J48" s="142"/>
      <c r="K48" s="142"/>
      <c r="L48" s="142"/>
      <c r="M48" s="142"/>
      <c r="N48" s="142"/>
      <c r="O48" s="142"/>
      <c r="P48" s="142"/>
      <c r="Q48" s="142"/>
      <c r="R48" s="142"/>
      <c r="S48" s="142"/>
      <c r="T48" s="142"/>
      <c r="U48" s="142"/>
      <c r="V48" s="75"/>
      <c r="W48" s="72"/>
    </row>
    <row r="49" spans="2:23" ht="10.15" x14ac:dyDescent="0.2">
      <c r="B49" s="97" t="s">
        <v>65</v>
      </c>
      <c r="V49" s="75"/>
      <c r="W49" s="72"/>
    </row>
    <row r="50" spans="2:23" ht="10.15" x14ac:dyDescent="0.2">
      <c r="B50" s="76" t="s">
        <v>350</v>
      </c>
      <c r="D50" s="79">
        <f>+D23</f>
        <v>471600</v>
      </c>
      <c r="E50" s="79">
        <f>+E23</f>
        <v>1006600</v>
      </c>
      <c r="F50" s="79">
        <f t="shared" ref="F50:T50" si="54">+F23</f>
        <v>1667600</v>
      </c>
      <c r="G50" s="79">
        <f t="shared" si="54"/>
        <v>2441724.4067552658</v>
      </c>
      <c r="H50" s="79">
        <f t="shared" si="54"/>
        <v>2964545.1277905754</v>
      </c>
      <c r="I50" s="79">
        <f t="shared" si="54"/>
        <v>3701315.2687979992</v>
      </c>
      <c r="J50" s="79">
        <f t="shared" si="54"/>
        <v>4407764.233365573</v>
      </c>
      <c r="K50" s="79">
        <f t="shared" ref="K50" si="55">+K23</f>
        <v>5058883.6531021297</v>
      </c>
      <c r="L50" s="79">
        <f t="shared" si="54"/>
        <v>5801468.5476468056</v>
      </c>
      <c r="M50" s="79">
        <f t="shared" si="54"/>
        <v>6607581.7112588556</v>
      </c>
      <c r="N50" s="79">
        <f t="shared" si="54"/>
        <v>7476388.5273519391</v>
      </c>
      <c r="O50" s="79">
        <f t="shared" si="54"/>
        <v>8406315.6522407364</v>
      </c>
      <c r="P50" s="79">
        <f t="shared" si="54"/>
        <v>9395073.6293034367</v>
      </c>
      <c r="Q50" s="79">
        <f t="shared" si="54"/>
        <v>10439695.317044953</v>
      </c>
      <c r="R50" s="79">
        <f t="shared" si="54"/>
        <v>11536588.233507993</v>
      </c>
      <c r="S50" s="79">
        <f t="shared" si="54"/>
        <v>12681598.566328017</v>
      </c>
      <c r="T50" s="79">
        <f t="shared" si="54"/>
        <v>13870084.374670852</v>
      </c>
      <c r="U50" s="79">
        <f t="shared" ref="U50" si="56">+U23</f>
        <v>15096995.411409833</v>
      </c>
      <c r="V50" s="75"/>
      <c r="W50" s="72"/>
    </row>
    <row r="51" spans="2:23" ht="12" x14ac:dyDescent="0.35">
      <c r="B51" s="76" t="s">
        <v>351</v>
      </c>
      <c r="D51" s="155">
        <f>+D42</f>
        <v>0</v>
      </c>
      <c r="E51" s="155">
        <f>+E42</f>
        <v>0</v>
      </c>
      <c r="F51" s="155">
        <f t="shared" ref="F51:T51" si="57">+F42</f>
        <v>0</v>
      </c>
      <c r="G51" s="155">
        <f t="shared" si="57"/>
        <v>0</v>
      </c>
      <c r="H51" s="155">
        <f t="shared" si="57"/>
        <v>2203.7044209301966</v>
      </c>
      <c r="I51" s="155">
        <f t="shared" si="57"/>
        <v>128324.07413545038</v>
      </c>
      <c r="J51" s="155">
        <f t="shared" si="57"/>
        <v>323761.54516972258</v>
      </c>
      <c r="K51" s="155">
        <f t="shared" ref="K51" si="58">+K42</f>
        <v>420890.00872063934</v>
      </c>
      <c r="L51" s="155">
        <f t="shared" si="57"/>
        <v>420890.00872063939</v>
      </c>
      <c r="M51" s="155">
        <f t="shared" si="57"/>
        <v>420890.00872063939</v>
      </c>
      <c r="N51" s="155">
        <f t="shared" si="57"/>
        <v>420890.00872063939</v>
      </c>
      <c r="O51" s="155">
        <f t="shared" si="57"/>
        <v>420890.00872063939</v>
      </c>
      <c r="P51" s="155">
        <f t="shared" si="57"/>
        <v>420890.00872063939</v>
      </c>
      <c r="Q51" s="155">
        <f t="shared" si="57"/>
        <v>420890.00872063939</v>
      </c>
      <c r="R51" s="155">
        <f t="shared" si="57"/>
        <v>420890.00872063939</v>
      </c>
      <c r="S51" s="155">
        <f t="shared" si="57"/>
        <v>420890.00872063939</v>
      </c>
      <c r="T51" s="155">
        <f t="shared" si="57"/>
        <v>420890.00872063939</v>
      </c>
      <c r="U51" s="155">
        <f t="shared" ref="U51" si="59">+U42</f>
        <v>420890.00872063939</v>
      </c>
      <c r="V51" s="75"/>
      <c r="W51" s="72"/>
    </row>
    <row r="52" spans="2:23" ht="10.15" x14ac:dyDescent="0.2">
      <c r="B52" s="92" t="s">
        <v>352</v>
      </c>
      <c r="D52" s="79">
        <f t="shared" ref="D52:T52" si="60">+D42+D23</f>
        <v>471600</v>
      </c>
      <c r="E52" s="79">
        <f t="shared" si="60"/>
        <v>1006600</v>
      </c>
      <c r="F52" s="79">
        <f t="shared" si="60"/>
        <v>1667600</v>
      </c>
      <c r="G52" s="79">
        <f t="shared" si="60"/>
        <v>2441724.4067552658</v>
      </c>
      <c r="H52" s="79">
        <f t="shared" si="60"/>
        <v>2966748.8322115056</v>
      </c>
      <c r="I52" s="79">
        <f t="shared" si="60"/>
        <v>3829639.3429334494</v>
      </c>
      <c r="J52" s="79">
        <f t="shared" si="60"/>
        <v>4731525.7785352953</v>
      </c>
      <c r="K52" s="79">
        <f t="shared" ref="K52" si="61">+K42+K23</f>
        <v>5479773.6618227689</v>
      </c>
      <c r="L52" s="79">
        <f t="shared" si="60"/>
        <v>6222358.5563674448</v>
      </c>
      <c r="M52" s="79">
        <f t="shared" si="60"/>
        <v>7028471.7199794948</v>
      </c>
      <c r="N52" s="79">
        <f t="shared" si="60"/>
        <v>7897278.5360725783</v>
      </c>
      <c r="O52" s="79">
        <f t="shared" si="60"/>
        <v>8827205.6609613765</v>
      </c>
      <c r="P52" s="79">
        <f t="shared" si="60"/>
        <v>9815963.6380240768</v>
      </c>
      <c r="Q52" s="79">
        <f t="shared" si="60"/>
        <v>10860585.325765593</v>
      </c>
      <c r="R52" s="79">
        <f t="shared" si="60"/>
        <v>11957478.242228633</v>
      </c>
      <c r="S52" s="79">
        <f t="shared" si="60"/>
        <v>13102488.575048657</v>
      </c>
      <c r="T52" s="79">
        <f t="shared" si="60"/>
        <v>14290974.383391492</v>
      </c>
      <c r="U52" s="79">
        <f t="shared" ref="U52" si="62">+U42+U23</f>
        <v>15517885.420130473</v>
      </c>
      <c r="V52" s="75"/>
      <c r="W52" s="72"/>
    </row>
    <row r="53" spans="2:23" ht="10.15" x14ac:dyDescent="0.2">
      <c r="B53" s="156" t="s">
        <v>85</v>
      </c>
      <c r="C53" s="72"/>
      <c r="D53" s="72"/>
      <c r="E53" s="142">
        <f t="shared" ref="E53" si="63">+IFERROR(E52/D52-1,"n/a")</f>
        <v>1.1344359626802376</v>
      </c>
      <c r="F53" s="142">
        <f t="shared" ref="F53" si="64">+IFERROR(F52/E52-1,"n/a")</f>
        <v>0.6566660043711503</v>
      </c>
      <c r="G53" s="142">
        <f t="shared" ref="G53" si="65">+IFERROR(G52/F52-1,"n/a")</f>
        <v>0.46421468383021458</v>
      </c>
      <c r="H53" s="142">
        <f t="shared" ref="H53" si="66">+IFERROR(H52/G52-1,"n/a")</f>
        <v>0.21502198364553715</v>
      </c>
      <c r="I53" s="142">
        <f t="shared" ref="I53" si="67">+IFERROR(I52/H52-1,"n/a")</f>
        <v>0.29085391434323715</v>
      </c>
      <c r="J53" s="142">
        <f t="shared" ref="J53:K53" si="68">+IFERROR(J52/I52-1,"n/a")</f>
        <v>0.2355016634310565</v>
      </c>
      <c r="K53" s="142">
        <f t="shared" si="68"/>
        <v>0.15814092922877476</v>
      </c>
      <c r="L53" s="142">
        <f t="shared" ref="L53" si="69">+IFERROR(L52/K52-1,"n/a")</f>
        <v>0.13551378950525228</v>
      </c>
      <c r="M53" s="142">
        <f t="shared" ref="M53" si="70">+IFERROR(M52/L52-1,"n/a")</f>
        <v>0.12955106272156902</v>
      </c>
      <c r="N53" s="142">
        <f t="shared" ref="N53" si="71">+IFERROR(N52/M52-1,"n/a")</f>
        <v>0.12361247945600584</v>
      </c>
      <c r="O53" s="142">
        <f t="shared" ref="O53" si="72">+IFERROR(O52/N52-1,"n/a")</f>
        <v>0.11775285886665254</v>
      </c>
      <c r="P53" s="142">
        <f t="shared" ref="P53" si="73">+IFERROR(P52/O52-1,"n/a")</f>
        <v>0.11201256830749018</v>
      </c>
      <c r="Q53" s="142">
        <f t="shared" ref="Q53" si="74">+IFERROR(Q52/P52-1,"n/a")</f>
        <v>0.10642069655749009</v>
      </c>
      <c r="R53" s="142">
        <f t="shared" ref="R53" si="75">+IFERROR(R52/Q52-1,"n/a")</f>
        <v>0.10099758747447773</v>
      </c>
      <c r="S53" s="142">
        <f t="shared" ref="S53" si="76">+IFERROR(S52/R52-1,"n/a")</f>
        <v>9.5756840165206691E-2</v>
      </c>
      <c r="T53" s="142">
        <f t="shared" ref="T53:U53" si="77">+IFERROR(T52/S52-1,"n/a")</f>
        <v>9.0706876143062942E-2</v>
      </c>
      <c r="U53" s="142">
        <f t="shared" si="77"/>
        <v>8.5852161218961776E-2</v>
      </c>
    </row>
    <row r="54" spans="2:23" ht="10.15" x14ac:dyDescent="0.2">
      <c r="B54" s="71"/>
      <c r="F54" s="127"/>
    </row>
    <row r="55" spans="2:23" x14ac:dyDescent="0.2">
      <c r="B55" s="71"/>
      <c r="F55" s="127"/>
    </row>
    <row r="114" spans="5:6" x14ac:dyDescent="0.2">
      <c r="E114" s="72"/>
    </row>
    <row r="117" spans="5:6" x14ac:dyDescent="0.2">
      <c r="F117" s="72"/>
    </row>
  </sheetData>
  <pageMargins left="0.3" right="0.3" top="0.3" bottom="0.4" header="0.3" footer="0.3"/>
  <pageSetup scale="51" orientation="portrait" r:id="rId1"/>
  <headerFooter>
    <oddFooter>&amp;C&amp;10Page &amp;P of &amp;N</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DA28D-08AA-491E-978E-B1793D37D5DA}">
  <dimension ref="A1:BC851"/>
  <sheetViews>
    <sheetView view="pageBreakPreview" zoomScaleNormal="100" zoomScaleSheetLayoutView="100" workbookViewId="0">
      <pane xSplit="3" ySplit="6" topLeftCell="X85" activePane="bottomRight" state="frozen"/>
      <selection activeCell="F114" sqref="F114"/>
      <selection pane="topRight" activeCell="F114" sqref="F114"/>
      <selection pane="bottomLeft" activeCell="F114" sqref="F114"/>
      <selection pane="bottomRight" activeCell="F114" sqref="F114"/>
    </sheetView>
  </sheetViews>
  <sheetFormatPr defaultRowHeight="11.25" outlineLevelRow="1" outlineLevelCol="1" x14ac:dyDescent="0.2"/>
  <cols>
    <col min="1" max="1" width="2.6640625" customWidth="1"/>
    <col min="2" max="2" width="25.83203125" customWidth="1"/>
    <col min="3" max="3" width="2.6640625" customWidth="1"/>
    <col min="4" max="11" width="9.33203125" hidden="1" customWidth="1" outlineLevel="1"/>
    <col min="12" max="12" width="9.6640625" customWidth="1" collapsed="1"/>
    <col min="13" max="39" width="9.6640625" customWidth="1"/>
    <col min="40" max="40" width="2.6640625" customWidth="1"/>
    <col min="41" max="50" width="9.6640625" customWidth="1"/>
    <col min="52" max="52" width="12.33203125" bestFit="1" customWidth="1"/>
    <col min="53" max="53" width="14.1640625" bestFit="1" customWidth="1"/>
  </cols>
  <sheetData>
    <row r="1" spans="2:53" x14ac:dyDescent="0.2">
      <c r="AE1" t="s">
        <v>240</v>
      </c>
      <c r="AF1" t="s">
        <v>241</v>
      </c>
      <c r="AG1" t="s">
        <v>242</v>
      </c>
      <c r="AH1" t="s">
        <v>243</v>
      </c>
      <c r="AI1" t="s">
        <v>244</v>
      </c>
      <c r="AV1" t="s">
        <v>259</v>
      </c>
      <c r="AW1" t="s">
        <v>260</v>
      </c>
      <c r="AY1" s="159">
        <v>45352</v>
      </c>
    </row>
    <row r="2" spans="2:53" s="1" customFormat="1" x14ac:dyDescent="0.2">
      <c r="B2" s="1" t="s">
        <v>0</v>
      </c>
      <c r="AX2" s="59">
        <f ca="1">TODAY()</f>
        <v>45796</v>
      </c>
    </row>
    <row r="3" spans="2:53" s="2" customFormat="1" x14ac:dyDescent="0.2">
      <c r="B3" s="2" t="s">
        <v>1</v>
      </c>
    </row>
    <row r="4" spans="2:53" x14ac:dyDescent="0.2">
      <c r="B4" s="3" t="s">
        <v>108</v>
      </c>
      <c r="AE4" s="163"/>
      <c r="AF4" s="171"/>
      <c r="AG4" s="171"/>
      <c r="AH4" s="172"/>
      <c r="AI4" s="172"/>
      <c r="AJ4" s="172"/>
      <c r="AK4" s="172"/>
      <c r="AL4" s="172"/>
      <c r="AM4" s="172"/>
      <c r="AV4" s="164"/>
      <c r="AW4" s="171"/>
      <c r="AX4" s="171"/>
    </row>
    <row r="5" spans="2:53" x14ac:dyDescent="0.2">
      <c r="H5" s="8" t="s">
        <v>59</v>
      </c>
      <c r="I5" s="9"/>
      <c r="J5" s="9"/>
      <c r="K5" s="9"/>
      <c r="L5" s="8" t="s">
        <v>59</v>
      </c>
      <c r="M5" s="9"/>
      <c r="N5" s="9"/>
      <c r="O5" s="9"/>
      <c r="P5" s="9"/>
      <c r="Q5" s="9"/>
      <c r="R5" s="9"/>
      <c r="S5" s="9"/>
      <c r="T5" s="9"/>
      <c r="U5" s="9"/>
      <c r="V5" s="9"/>
      <c r="W5" s="9"/>
      <c r="X5" s="9"/>
      <c r="Y5" s="9"/>
      <c r="Z5" s="9"/>
      <c r="AA5" s="9"/>
      <c r="AB5" s="9"/>
      <c r="AC5" s="9"/>
      <c r="AD5" s="9"/>
      <c r="AE5" s="9"/>
      <c r="AF5" s="9"/>
      <c r="AG5" s="9"/>
      <c r="AH5" s="9"/>
      <c r="AI5" s="9"/>
      <c r="AJ5" s="9"/>
      <c r="AK5" s="9"/>
      <c r="AL5" s="9"/>
      <c r="AM5" s="9"/>
      <c r="AO5" s="8" t="s">
        <v>58</v>
      </c>
      <c r="AP5" s="9"/>
      <c r="AQ5" s="9"/>
      <c r="AR5" s="9"/>
      <c r="AS5" s="9"/>
      <c r="AT5" s="9"/>
      <c r="AU5" s="9"/>
      <c r="AV5" s="9"/>
      <c r="AW5" s="9"/>
      <c r="AX5" s="9"/>
    </row>
    <row r="6" spans="2:53" ht="13.5" x14ac:dyDescent="0.35">
      <c r="D6" s="7" t="s">
        <v>364</v>
      </c>
      <c r="E6" s="7" t="s">
        <v>365</v>
      </c>
      <c r="F6" s="7" t="s">
        <v>366</v>
      </c>
      <c r="G6" s="7" t="s">
        <v>367</v>
      </c>
      <c r="H6" s="7" t="s">
        <v>26</v>
      </c>
      <c r="I6" s="7" t="s">
        <v>27</v>
      </c>
      <c r="J6" s="7" t="s">
        <v>28</v>
      </c>
      <c r="K6" s="7" t="s">
        <v>29</v>
      </c>
      <c r="L6" s="7" t="s">
        <v>30</v>
      </c>
      <c r="M6" s="7" t="s">
        <v>31</v>
      </c>
      <c r="N6" s="7" t="s">
        <v>32</v>
      </c>
      <c r="O6" s="7" t="s">
        <v>33</v>
      </c>
      <c r="P6" s="7" t="s">
        <v>34</v>
      </c>
      <c r="Q6" s="7" t="s">
        <v>35</v>
      </c>
      <c r="R6" s="7" t="s">
        <v>36</v>
      </c>
      <c r="S6" s="7" t="s">
        <v>37</v>
      </c>
      <c r="T6" s="7" t="s">
        <v>38</v>
      </c>
      <c r="U6" s="7" t="s">
        <v>39</v>
      </c>
      <c r="V6" s="7" t="s">
        <v>40</v>
      </c>
      <c r="W6" s="7" t="s">
        <v>41</v>
      </c>
      <c r="X6" s="7" t="s">
        <v>42</v>
      </c>
      <c r="Y6" s="7" t="s">
        <v>43</v>
      </c>
      <c r="Z6" s="7" t="s">
        <v>44</v>
      </c>
      <c r="AA6" s="7" t="s">
        <v>45</v>
      </c>
      <c r="AB6" s="7" t="s">
        <v>46</v>
      </c>
      <c r="AC6" s="7" t="s">
        <v>47</v>
      </c>
      <c r="AD6" s="7" t="s">
        <v>48</v>
      </c>
      <c r="AE6" s="7" t="s">
        <v>240</v>
      </c>
      <c r="AF6" s="7" t="s">
        <v>241</v>
      </c>
      <c r="AG6" s="7" t="s">
        <v>242</v>
      </c>
      <c r="AH6" s="7" t="s">
        <v>243</v>
      </c>
      <c r="AI6" s="7" t="s">
        <v>49</v>
      </c>
      <c r="AJ6" s="7" t="s">
        <v>465</v>
      </c>
      <c r="AK6" s="7" t="s">
        <v>466</v>
      </c>
      <c r="AL6" s="7" t="s">
        <v>463</v>
      </c>
      <c r="AM6" s="7" t="s">
        <v>464</v>
      </c>
      <c r="AO6" s="7" t="s">
        <v>50</v>
      </c>
      <c r="AP6" s="7" t="s">
        <v>51</v>
      </c>
      <c r="AQ6" s="7" t="s">
        <v>52</v>
      </c>
      <c r="AR6" s="7" t="s">
        <v>53</v>
      </c>
      <c r="AS6" s="7" t="s">
        <v>54</v>
      </c>
      <c r="AT6" s="7" t="s">
        <v>55</v>
      </c>
      <c r="AU6" s="7" t="s">
        <v>56</v>
      </c>
      <c r="AV6" s="7" t="s">
        <v>259</v>
      </c>
      <c r="AW6" s="7" t="s">
        <v>57</v>
      </c>
      <c r="AX6" s="7" t="s">
        <v>267</v>
      </c>
    </row>
    <row r="7" spans="2:53" ht="10.15" hidden="1" outlineLevel="1" x14ac:dyDescent="0.2">
      <c r="B7" t="s">
        <v>375</v>
      </c>
      <c r="D7" s="175">
        <v>42736</v>
      </c>
      <c r="E7" s="176">
        <f t="shared" ref="E7:H7" si="0">+D8+1</f>
        <v>42826</v>
      </c>
      <c r="F7" s="176">
        <f t="shared" si="0"/>
        <v>42917</v>
      </c>
      <c r="G7" s="176">
        <f t="shared" si="0"/>
        <v>43009</v>
      </c>
      <c r="H7" s="176">
        <f t="shared" si="0"/>
        <v>43101</v>
      </c>
      <c r="I7" s="176">
        <f>+H8+1</f>
        <v>43191</v>
      </c>
      <c r="J7" s="176">
        <f t="shared" ref="J7:AI7" si="1">+I8+1</f>
        <v>43282</v>
      </c>
      <c r="K7" s="176">
        <f t="shared" si="1"/>
        <v>43374</v>
      </c>
      <c r="L7" s="176">
        <f t="shared" si="1"/>
        <v>43466</v>
      </c>
      <c r="M7" s="176">
        <f t="shared" si="1"/>
        <v>43556</v>
      </c>
      <c r="N7" s="176">
        <f t="shared" si="1"/>
        <v>43647</v>
      </c>
      <c r="O7" s="176">
        <f t="shared" si="1"/>
        <v>43739</v>
      </c>
      <c r="P7" s="176">
        <f t="shared" si="1"/>
        <v>43831</v>
      </c>
      <c r="Q7" s="176">
        <f t="shared" si="1"/>
        <v>43922</v>
      </c>
      <c r="R7" s="176">
        <f t="shared" si="1"/>
        <v>44013</v>
      </c>
      <c r="S7" s="176">
        <f t="shared" si="1"/>
        <v>44105</v>
      </c>
      <c r="T7" s="176">
        <f t="shared" si="1"/>
        <v>44197</v>
      </c>
      <c r="U7" s="176">
        <f t="shared" si="1"/>
        <v>44287</v>
      </c>
      <c r="V7" s="176">
        <f t="shared" si="1"/>
        <v>44378</v>
      </c>
      <c r="W7" s="176">
        <f t="shared" si="1"/>
        <v>44470</v>
      </c>
      <c r="X7" s="176">
        <f t="shared" si="1"/>
        <v>44562</v>
      </c>
      <c r="Y7" s="176">
        <f t="shared" si="1"/>
        <v>44652</v>
      </c>
      <c r="Z7" s="176">
        <f t="shared" si="1"/>
        <v>44743</v>
      </c>
      <c r="AA7" s="176">
        <f t="shared" si="1"/>
        <v>44835</v>
      </c>
      <c r="AB7" s="176">
        <f t="shared" si="1"/>
        <v>44927</v>
      </c>
      <c r="AC7" s="176">
        <f t="shared" si="1"/>
        <v>45017</v>
      </c>
      <c r="AD7" s="176">
        <f t="shared" si="1"/>
        <v>45108</v>
      </c>
      <c r="AE7" s="176">
        <f t="shared" si="1"/>
        <v>45200</v>
      </c>
      <c r="AF7" s="176">
        <f t="shared" si="1"/>
        <v>45292</v>
      </c>
      <c r="AG7" s="176">
        <f t="shared" si="1"/>
        <v>45383</v>
      </c>
      <c r="AH7" s="176">
        <f t="shared" si="1"/>
        <v>45474</v>
      </c>
      <c r="AI7" s="176">
        <f t="shared" si="1"/>
        <v>45566</v>
      </c>
      <c r="AJ7" s="176">
        <f t="shared" ref="AJ7" si="2">+AI8+1</f>
        <v>45658</v>
      </c>
      <c r="AK7" s="176">
        <f t="shared" ref="AK7" si="3">+AJ8+1</f>
        <v>45748</v>
      </c>
      <c r="AL7" s="176">
        <f t="shared" ref="AL7" si="4">+AK8+1</f>
        <v>45839</v>
      </c>
      <c r="AM7" s="176">
        <f t="shared" ref="AM7" si="5">+AL8+1</f>
        <v>45931</v>
      </c>
      <c r="AO7" s="175">
        <v>42370</v>
      </c>
      <c r="AP7" s="176">
        <f t="shared" ref="AP7:AX7" si="6">+AO8+1</f>
        <v>42736</v>
      </c>
      <c r="AQ7" s="176">
        <f t="shared" si="6"/>
        <v>43101</v>
      </c>
      <c r="AR7" s="176">
        <f t="shared" si="6"/>
        <v>43466</v>
      </c>
      <c r="AS7" s="176">
        <f t="shared" si="6"/>
        <v>43831</v>
      </c>
      <c r="AT7" s="176">
        <f t="shared" si="6"/>
        <v>44197</v>
      </c>
      <c r="AU7" s="176">
        <f t="shared" si="6"/>
        <v>44562</v>
      </c>
      <c r="AV7" s="176">
        <f t="shared" si="6"/>
        <v>44927</v>
      </c>
      <c r="AW7" s="176">
        <f t="shared" si="6"/>
        <v>45292</v>
      </c>
      <c r="AX7" s="176">
        <f t="shared" si="6"/>
        <v>45658</v>
      </c>
    </row>
    <row r="8" spans="2:53" ht="10.15" hidden="1" outlineLevel="1" x14ac:dyDescent="0.2">
      <c r="B8" t="s">
        <v>376</v>
      </c>
      <c r="D8" s="175">
        <v>42825</v>
      </c>
      <c r="E8" s="175">
        <v>42916</v>
      </c>
      <c r="F8" s="175">
        <v>43008</v>
      </c>
      <c r="G8" s="175">
        <v>43100</v>
      </c>
      <c r="H8" s="175">
        <v>43190</v>
      </c>
      <c r="I8" s="175">
        <v>43281</v>
      </c>
      <c r="J8" s="175">
        <v>43373</v>
      </c>
      <c r="K8" s="175">
        <v>43465</v>
      </c>
      <c r="L8" s="175">
        <v>43555</v>
      </c>
      <c r="M8" s="175">
        <v>43646</v>
      </c>
      <c r="N8" s="175">
        <v>43738</v>
      </c>
      <c r="O8" s="175">
        <v>43830</v>
      </c>
      <c r="P8" s="175">
        <v>43921</v>
      </c>
      <c r="Q8" s="175">
        <v>44012</v>
      </c>
      <c r="R8" s="175">
        <v>44104</v>
      </c>
      <c r="S8" s="175">
        <v>44196</v>
      </c>
      <c r="T8" s="175">
        <v>44286</v>
      </c>
      <c r="U8" s="175">
        <v>44377</v>
      </c>
      <c r="V8" s="175">
        <v>44469</v>
      </c>
      <c r="W8" s="175">
        <v>44561</v>
      </c>
      <c r="X8" s="175">
        <v>44651</v>
      </c>
      <c r="Y8" s="175">
        <v>44742</v>
      </c>
      <c r="Z8" s="175">
        <v>44834</v>
      </c>
      <c r="AA8" s="175">
        <v>44926</v>
      </c>
      <c r="AB8" s="175">
        <v>45016</v>
      </c>
      <c r="AC8" s="175">
        <v>45107</v>
      </c>
      <c r="AD8" s="175">
        <v>45199</v>
      </c>
      <c r="AE8" s="175">
        <v>45291</v>
      </c>
      <c r="AF8" s="175">
        <v>45382</v>
      </c>
      <c r="AG8" s="175">
        <v>45473</v>
      </c>
      <c r="AH8" s="175">
        <v>45565</v>
      </c>
      <c r="AI8" s="175">
        <v>45657</v>
      </c>
      <c r="AJ8" s="175">
        <v>45747</v>
      </c>
      <c r="AK8" s="175">
        <v>45838</v>
      </c>
      <c r="AL8" s="175">
        <v>45930</v>
      </c>
      <c r="AM8" s="175">
        <v>46022</v>
      </c>
      <c r="AO8" s="175">
        <v>42735</v>
      </c>
      <c r="AP8" s="175">
        <v>43100</v>
      </c>
      <c r="AQ8" s="175">
        <v>43465</v>
      </c>
      <c r="AR8" s="175">
        <v>43830</v>
      </c>
      <c r="AS8" s="175">
        <v>44196</v>
      </c>
      <c r="AT8" s="175">
        <v>44561</v>
      </c>
      <c r="AU8" s="175">
        <v>44926</v>
      </c>
      <c r="AV8" s="175">
        <v>45291</v>
      </c>
      <c r="AW8" s="175">
        <v>45657</v>
      </c>
      <c r="AX8" s="175">
        <v>46022</v>
      </c>
    </row>
    <row r="9" spans="2:53" collapsed="1" x14ac:dyDescent="0.2"/>
    <row r="10" spans="2:53" x14ac:dyDescent="0.2">
      <c r="B10" s="6" t="s">
        <v>84</v>
      </c>
      <c r="C10" s="5"/>
    </row>
    <row r="11" spans="2:53" x14ac:dyDescent="0.2">
      <c r="AE11" s="10"/>
    </row>
    <row r="12" spans="2:53" x14ac:dyDescent="0.2">
      <c r="B12" t="s">
        <v>225</v>
      </c>
      <c r="H12" s="10">
        <f>+H126</f>
        <v>1108.0999999999999</v>
      </c>
      <c r="I12" s="10">
        <f t="shared" ref="I12:AI12" si="7">+I126</f>
        <v>2370.9520000000002</v>
      </c>
      <c r="J12" s="10">
        <f t="shared" si="7"/>
        <v>2974.145</v>
      </c>
      <c r="K12" s="10">
        <f t="shared" si="7"/>
        <v>5062.3779999999997</v>
      </c>
      <c r="L12" s="10">
        <f t="shared" si="7"/>
        <v>3948.4140000000002</v>
      </c>
      <c r="M12" s="10">
        <f t="shared" si="7"/>
        <v>6467.0730000000003</v>
      </c>
      <c r="N12" s="10">
        <f t="shared" si="7"/>
        <v>6711.4549999999999</v>
      </c>
      <c r="O12" s="10">
        <f t="shared" si="7"/>
        <v>9686.6990000000005</v>
      </c>
      <c r="P12" s="10">
        <f t="shared" si="7"/>
        <v>5492.27</v>
      </c>
      <c r="Q12" s="10">
        <f t="shared" si="7"/>
        <v>11054.698</v>
      </c>
      <c r="R12" s="10">
        <f t="shared" si="7"/>
        <v>12484.835999999999</v>
      </c>
      <c r="S12" s="10">
        <f t="shared" si="7"/>
        <v>18921.974999999999</v>
      </c>
      <c r="T12" s="10">
        <f t="shared" si="7"/>
        <v>14111.486000000001</v>
      </c>
      <c r="U12" s="10">
        <f t="shared" si="7"/>
        <v>18080.419000000002</v>
      </c>
      <c r="V12" s="10">
        <f t="shared" si="7"/>
        <v>17946.495999999999</v>
      </c>
      <c r="W12" s="10">
        <f t="shared" si="7"/>
        <v>22425.001000000004</v>
      </c>
      <c r="X12" s="10">
        <f t="shared" si="7"/>
        <v>18158.424999999999</v>
      </c>
      <c r="Y12" s="10">
        <f t="shared" si="7"/>
        <v>25172.651000000002</v>
      </c>
      <c r="Z12" s="10">
        <f t="shared" si="7"/>
        <v>28425.645</v>
      </c>
      <c r="AA12" s="10">
        <f t="shared" si="7"/>
        <v>30965.202999999994</v>
      </c>
      <c r="AB12" s="10">
        <f t="shared" si="7"/>
        <v>27244.425999999999</v>
      </c>
      <c r="AC12" s="10">
        <f t="shared" si="7"/>
        <v>37932.830999999998</v>
      </c>
      <c r="AD12" s="10">
        <f t="shared" si="7"/>
        <v>39687.678</v>
      </c>
      <c r="AE12" s="10">
        <f t="shared" ref="AE12:AF12" si="8">+AE126</f>
        <v>48675.618000000002</v>
      </c>
      <c r="AF12" s="10">
        <f t="shared" si="8"/>
        <v>42456.243000000002</v>
      </c>
      <c r="AG12" s="10">
        <f t="shared" ref="AG12:AH12" si="9">+AG126</f>
        <v>49115.866000000002</v>
      </c>
      <c r="AH12" s="10">
        <f t="shared" si="9"/>
        <v>49351.021999999997</v>
      </c>
      <c r="AI12" s="10">
        <f t="shared" si="7"/>
        <v>56453.027685972425</v>
      </c>
      <c r="AJ12" s="10">
        <f t="shared" ref="AJ12:AM12" si="10">+AJ126</f>
        <v>46844.262849690873</v>
      </c>
      <c r="AK12" s="10">
        <f t="shared" si="10"/>
        <v>53606.288802990195</v>
      </c>
      <c r="AL12" s="10">
        <f t="shared" si="10"/>
        <v>57216.217753694997</v>
      </c>
      <c r="AM12" s="10">
        <f t="shared" si="10"/>
        <v>65450.087840855049</v>
      </c>
      <c r="AO12" s="10">
        <f t="shared" ref="AO12:AW12" si="11">+AO126</f>
        <v>0</v>
      </c>
      <c r="AP12" s="10">
        <f t="shared" si="11"/>
        <v>1209.2750000000001</v>
      </c>
      <c r="AQ12" s="10">
        <f t="shared" si="11"/>
        <v>11515.575000000001</v>
      </c>
      <c r="AR12" s="10">
        <f t="shared" si="11"/>
        <v>26813.641</v>
      </c>
      <c r="AS12" s="10">
        <f t="shared" si="11"/>
        <v>47953.779000000002</v>
      </c>
      <c r="AT12" s="10">
        <f t="shared" si="11"/>
        <v>72563.402000000002</v>
      </c>
      <c r="AU12" s="10">
        <f t="shared" si="11"/>
        <v>102721.924</v>
      </c>
      <c r="AV12" s="10">
        <f t="shared" ref="AV12" si="12">+AV126</f>
        <v>153540.55300000001</v>
      </c>
      <c r="AW12" s="10">
        <f t="shared" si="11"/>
        <v>197376.15868597242</v>
      </c>
      <c r="AX12" s="10">
        <f>+SUM(AJ12:AM12)</f>
        <v>223116.85724723112</v>
      </c>
    </row>
    <row r="13" spans="2:53" ht="13.5" x14ac:dyDescent="0.35">
      <c r="B13" t="s">
        <v>226</v>
      </c>
      <c r="H13" s="25">
        <f>+H127</f>
        <v>276.50400000000002</v>
      </c>
      <c r="I13" s="25">
        <f t="shared" ref="I13:AI13" si="13">+I127</f>
        <v>338.09399999999999</v>
      </c>
      <c r="J13" s="25">
        <f t="shared" si="13"/>
        <v>398.27300000000002</v>
      </c>
      <c r="K13" s="25">
        <f t="shared" si="13"/>
        <v>591.54399999999998</v>
      </c>
      <c r="L13" s="25">
        <f t="shared" si="13"/>
        <v>596.79</v>
      </c>
      <c r="M13" s="25">
        <f t="shared" si="13"/>
        <v>822.93499999999995</v>
      </c>
      <c r="N13" s="25">
        <f t="shared" si="13"/>
        <v>802.49300000000005</v>
      </c>
      <c r="O13" s="25">
        <f t="shared" si="13"/>
        <v>1106.027</v>
      </c>
      <c r="P13" s="25">
        <f t="shared" si="13"/>
        <v>1048.789</v>
      </c>
      <c r="Q13" s="25">
        <f t="shared" si="13"/>
        <v>1138.617</v>
      </c>
      <c r="R13" s="25">
        <f t="shared" si="13"/>
        <v>1332.124</v>
      </c>
      <c r="S13" s="25">
        <f t="shared" si="13"/>
        <v>2267.8850000000002</v>
      </c>
      <c r="T13" s="25">
        <f t="shared" si="13"/>
        <v>2931.4749999999999</v>
      </c>
      <c r="U13" s="25">
        <f t="shared" si="13"/>
        <v>3007.6379999999999</v>
      </c>
      <c r="V13" s="25">
        <f t="shared" si="13"/>
        <v>3477.1469999999999</v>
      </c>
      <c r="W13" s="25">
        <f t="shared" si="13"/>
        <v>4724.1890000000021</v>
      </c>
      <c r="X13" s="25">
        <f t="shared" si="13"/>
        <v>5591.4070000000002</v>
      </c>
      <c r="Y13" s="25">
        <f t="shared" si="13"/>
        <v>6216.2070000000003</v>
      </c>
      <c r="Z13" s="25">
        <f t="shared" si="13"/>
        <v>7022.2520000000004</v>
      </c>
      <c r="AA13" s="25">
        <f t="shared" si="13"/>
        <v>8796.627999999997</v>
      </c>
      <c r="AB13" s="25">
        <f t="shared" si="13"/>
        <v>10392.624</v>
      </c>
      <c r="AC13" s="25">
        <f t="shared" si="13"/>
        <v>14347.916999999999</v>
      </c>
      <c r="AD13" s="25">
        <f t="shared" si="13"/>
        <v>29152.692999999999</v>
      </c>
      <c r="AE13" s="25">
        <f t="shared" ref="AE13:AF13" si="14">+AE127</f>
        <v>40205.417999999998</v>
      </c>
      <c r="AF13" s="25">
        <f t="shared" si="14"/>
        <v>44355.815999999999</v>
      </c>
      <c r="AG13" s="25">
        <f t="shared" ref="AG13:AH13" si="15">+AG127</f>
        <v>47943.665000000001</v>
      </c>
      <c r="AH13" s="25">
        <f t="shared" si="15"/>
        <v>50003.379000000001</v>
      </c>
      <c r="AI13" s="25">
        <f t="shared" si="13"/>
        <v>53417.272639007722</v>
      </c>
      <c r="AJ13" s="25">
        <f t="shared" ref="AJ13:AM13" si="16">+AJ127</f>
        <v>48507.888128909763</v>
      </c>
      <c r="AK13" s="25">
        <f t="shared" si="16"/>
        <v>57578.489654283505</v>
      </c>
      <c r="AL13" s="25">
        <f t="shared" si="16"/>
        <v>61885.248186597302</v>
      </c>
      <c r="AM13" s="25">
        <f t="shared" si="16"/>
        <v>67418.576696802018</v>
      </c>
      <c r="AO13" s="25">
        <f t="shared" ref="AO13:AW13" si="17">+AO127</f>
        <v>48.276000000000003</v>
      </c>
      <c r="AP13" s="25">
        <f t="shared" si="17"/>
        <v>531.41600000000005</v>
      </c>
      <c r="AQ13" s="25">
        <f t="shared" si="17"/>
        <v>1604.415</v>
      </c>
      <c r="AR13" s="25">
        <f t="shared" si="17"/>
        <v>3328.2449999999999</v>
      </c>
      <c r="AS13" s="25">
        <f t="shared" si="17"/>
        <v>5787.415</v>
      </c>
      <c r="AT13" s="25">
        <f t="shared" si="17"/>
        <v>14140.449000000001</v>
      </c>
      <c r="AU13" s="25">
        <f t="shared" si="17"/>
        <v>27626.493999999999</v>
      </c>
      <c r="AV13" s="25">
        <f t="shared" ref="AV13" si="18">+AV127</f>
        <v>94098.652000000002</v>
      </c>
      <c r="AW13" s="25">
        <f t="shared" si="17"/>
        <v>195720.1326390077</v>
      </c>
      <c r="AX13" s="25">
        <f t="shared" ref="AX13:AX16" si="19">+SUM(AJ13:AM13)</f>
        <v>235390.20266659258</v>
      </c>
      <c r="AY13" s="157"/>
    </row>
    <row r="14" spans="2:53" x14ac:dyDescent="0.2">
      <c r="B14" s="4" t="s">
        <v>223</v>
      </c>
      <c r="H14" s="10">
        <f>+H128</f>
        <v>1384.6039999999998</v>
      </c>
      <c r="I14" s="10">
        <f t="shared" ref="I14:AI14" si="20">+I128</f>
        <v>2709.0460000000003</v>
      </c>
      <c r="J14" s="10">
        <f t="shared" si="20"/>
        <v>3372.4180000000001</v>
      </c>
      <c r="K14" s="10">
        <f t="shared" si="20"/>
        <v>5653.9219999999996</v>
      </c>
      <c r="L14" s="10">
        <f t="shared" si="20"/>
        <v>4545.2039999999997</v>
      </c>
      <c r="M14" s="10">
        <f t="shared" si="20"/>
        <v>7290.0079999999998</v>
      </c>
      <c r="N14" s="10">
        <f t="shared" si="20"/>
        <v>7513.9480000000003</v>
      </c>
      <c r="O14" s="10">
        <f t="shared" si="20"/>
        <v>10792.726000000001</v>
      </c>
      <c r="P14" s="10">
        <f t="shared" si="20"/>
        <v>6541.0590000000002</v>
      </c>
      <c r="Q14" s="10">
        <f t="shared" si="20"/>
        <v>12193.315000000001</v>
      </c>
      <c r="R14" s="10">
        <f t="shared" si="20"/>
        <v>13816.96</v>
      </c>
      <c r="S14" s="10">
        <f t="shared" si="20"/>
        <v>21189.86</v>
      </c>
      <c r="T14" s="10">
        <f t="shared" si="20"/>
        <v>17042.960999999999</v>
      </c>
      <c r="U14" s="10">
        <f t="shared" si="20"/>
        <v>21088.057000000001</v>
      </c>
      <c r="V14" s="10">
        <f t="shared" si="20"/>
        <v>21423.643</v>
      </c>
      <c r="W14" s="10">
        <f t="shared" si="20"/>
        <v>27149.190000000006</v>
      </c>
      <c r="X14" s="10">
        <f t="shared" si="20"/>
        <v>23749.831999999999</v>
      </c>
      <c r="Y14" s="10">
        <f t="shared" si="20"/>
        <v>31388.858</v>
      </c>
      <c r="Z14" s="10">
        <f t="shared" si="20"/>
        <v>35447.896999999997</v>
      </c>
      <c r="AA14" s="10">
        <f t="shared" si="20"/>
        <v>39761.830999999991</v>
      </c>
      <c r="AB14" s="10">
        <f t="shared" si="20"/>
        <v>37637.050000000003</v>
      </c>
      <c r="AC14" s="10">
        <f t="shared" si="20"/>
        <v>52280.748</v>
      </c>
      <c r="AD14" s="10">
        <f t="shared" si="20"/>
        <v>68840.370999999999</v>
      </c>
      <c r="AE14" s="10">
        <f t="shared" ref="AE14:AF14" si="21">+AE128</f>
        <v>88881.035999999993</v>
      </c>
      <c r="AF14" s="10">
        <f t="shared" si="21"/>
        <v>86812.059000000008</v>
      </c>
      <c r="AG14" s="10">
        <f t="shared" ref="AG14:AH14" si="22">+AG128</f>
        <v>97059.531000000003</v>
      </c>
      <c r="AH14" s="10">
        <f t="shared" si="22"/>
        <v>99354.400999999998</v>
      </c>
      <c r="AI14" s="10">
        <f t="shared" si="20"/>
        <v>109870.30032498014</v>
      </c>
      <c r="AJ14" s="10">
        <f t="shared" ref="AJ14:AM14" si="23">+AJ128</f>
        <v>95352.150978600635</v>
      </c>
      <c r="AK14" s="10">
        <f t="shared" si="23"/>
        <v>111184.7784572737</v>
      </c>
      <c r="AL14" s="10">
        <f t="shared" si="23"/>
        <v>119101.4659402923</v>
      </c>
      <c r="AM14" s="10">
        <f t="shared" si="23"/>
        <v>132868.66453765705</v>
      </c>
      <c r="AO14" s="10">
        <f t="shared" ref="AO14:AU14" si="24">+AO128</f>
        <v>48.276000000000003</v>
      </c>
      <c r="AP14" s="10">
        <f t="shared" si="24"/>
        <v>1740.6910000000003</v>
      </c>
      <c r="AQ14" s="10">
        <f t="shared" si="24"/>
        <v>13119.990000000002</v>
      </c>
      <c r="AR14" s="10">
        <f t="shared" si="24"/>
        <v>30141.885999999999</v>
      </c>
      <c r="AS14" s="10">
        <f t="shared" si="24"/>
        <v>53741.194000000003</v>
      </c>
      <c r="AT14" s="10">
        <f t="shared" si="24"/>
        <v>86703.850999999995</v>
      </c>
      <c r="AU14" s="10">
        <f t="shared" si="24"/>
        <v>130348.41800000001</v>
      </c>
      <c r="AV14" s="10">
        <f t="shared" ref="AV14" si="25">+AV128</f>
        <v>247639.20500000002</v>
      </c>
      <c r="AW14" s="10">
        <f>+SUM(AF14:AI14)</f>
        <v>393096.29132498021</v>
      </c>
      <c r="AX14" s="10">
        <f t="shared" si="19"/>
        <v>458507.05991382367</v>
      </c>
    </row>
    <row r="15" spans="2:53" ht="13.5" x14ac:dyDescent="0.35">
      <c r="B15" t="s">
        <v>222</v>
      </c>
      <c r="H15" s="25">
        <f>+H129</f>
        <v>0</v>
      </c>
      <c r="I15" s="25">
        <f t="shared" ref="I15:AI15" si="26">+I129</f>
        <v>0</v>
      </c>
      <c r="J15" s="25">
        <f t="shared" si="26"/>
        <v>0</v>
      </c>
      <c r="K15" s="25">
        <f t="shared" si="26"/>
        <v>0</v>
      </c>
      <c r="L15" s="25">
        <f t="shared" si="26"/>
        <v>0</v>
      </c>
      <c r="M15" s="25">
        <f t="shared" si="26"/>
        <v>0</v>
      </c>
      <c r="N15" s="25">
        <f t="shared" si="26"/>
        <v>0</v>
      </c>
      <c r="O15" s="25">
        <f t="shared" si="26"/>
        <v>0</v>
      </c>
      <c r="P15" s="25">
        <f t="shared" si="26"/>
        <v>0</v>
      </c>
      <c r="Q15" s="25">
        <f t="shared" si="26"/>
        <v>0</v>
      </c>
      <c r="R15" s="25">
        <f t="shared" si="26"/>
        <v>392.822</v>
      </c>
      <c r="S15" s="25">
        <f t="shared" si="26"/>
        <v>5357.8490000000002</v>
      </c>
      <c r="T15" s="25">
        <f t="shared" si="26"/>
        <v>5124.1379999999999</v>
      </c>
      <c r="U15" s="25">
        <f t="shared" si="26"/>
        <v>1958.163</v>
      </c>
      <c r="V15" s="25">
        <f t="shared" si="26"/>
        <v>82.114999999999995</v>
      </c>
      <c r="W15" s="25">
        <f t="shared" si="26"/>
        <v>81.67200000000048</v>
      </c>
      <c r="X15" s="25">
        <f t="shared" si="26"/>
        <v>43.856999999999999</v>
      </c>
      <c r="Y15" s="25">
        <f t="shared" si="26"/>
        <v>50.71</v>
      </c>
      <c r="Z15" s="25">
        <f t="shared" si="26"/>
        <v>56.406999999999996</v>
      </c>
      <c r="AA15" s="25">
        <f t="shared" si="26"/>
        <v>58.197000000000003</v>
      </c>
      <c r="AB15" s="25">
        <f t="shared" si="26"/>
        <v>0</v>
      </c>
      <c r="AC15" s="25">
        <f t="shared" si="26"/>
        <v>0</v>
      </c>
      <c r="AD15" s="25">
        <f t="shared" si="26"/>
        <v>0</v>
      </c>
      <c r="AE15" s="25">
        <f t="shared" ref="AE15:AF15" si="27">+AE129</f>
        <v>0</v>
      </c>
      <c r="AF15" s="25">
        <f t="shared" si="27"/>
        <v>0</v>
      </c>
      <c r="AG15" s="25">
        <f t="shared" ref="AG15:AH15" si="28">+AG129</f>
        <v>0</v>
      </c>
      <c r="AH15" s="25">
        <f t="shared" si="28"/>
        <v>0</v>
      </c>
      <c r="AI15" s="25">
        <f t="shared" si="26"/>
        <v>0</v>
      </c>
      <c r="AJ15" s="25">
        <f t="shared" ref="AJ15:AM15" si="29">+AJ129</f>
        <v>0</v>
      </c>
      <c r="AK15" s="25">
        <f t="shared" si="29"/>
        <v>0</v>
      </c>
      <c r="AL15" s="25">
        <f t="shared" si="29"/>
        <v>0</v>
      </c>
      <c r="AM15" s="25">
        <f t="shared" si="29"/>
        <v>0</v>
      </c>
      <c r="AO15" s="25">
        <f t="shared" ref="AO15:AU15" si="30">+AO129</f>
        <v>456.58800000000002</v>
      </c>
      <c r="AP15" s="25">
        <f t="shared" si="30"/>
        <v>3.3849999999999998</v>
      </c>
      <c r="AQ15" s="25">
        <f t="shared" si="30"/>
        <v>0</v>
      </c>
      <c r="AR15" s="25">
        <f t="shared" si="30"/>
        <v>0</v>
      </c>
      <c r="AS15" s="25">
        <f t="shared" si="30"/>
        <v>5750.6710000000003</v>
      </c>
      <c r="AT15" s="25">
        <f t="shared" si="30"/>
        <v>7246.0879999999997</v>
      </c>
      <c r="AU15" s="25">
        <f t="shared" si="30"/>
        <v>209.17099999999999</v>
      </c>
      <c r="AV15" s="25">
        <f t="shared" ref="AV15" si="31">+AV129</f>
        <v>0</v>
      </c>
      <c r="AW15" s="25">
        <f>+SUM(AF15:AI15)</f>
        <v>0</v>
      </c>
      <c r="AX15" s="25">
        <f t="shared" si="19"/>
        <v>0</v>
      </c>
    </row>
    <row r="16" spans="2:53" s="1" customFormat="1" x14ac:dyDescent="0.2">
      <c r="B16" s="38" t="s">
        <v>224</v>
      </c>
      <c r="H16" s="42">
        <f>+H559</f>
        <v>1384.6039999999998</v>
      </c>
      <c r="I16" s="42">
        <f t="shared" ref="I16:AD16" si="32">+I559</f>
        <v>2709.0460000000003</v>
      </c>
      <c r="J16" s="42">
        <f t="shared" si="32"/>
        <v>3372.4180000000001</v>
      </c>
      <c r="K16" s="42">
        <f t="shared" si="32"/>
        <v>5653.9219999999996</v>
      </c>
      <c r="L16" s="42">
        <f t="shared" si="32"/>
        <v>4545.2039999999997</v>
      </c>
      <c r="M16" s="42">
        <f t="shared" si="32"/>
        <v>7290.0079999999998</v>
      </c>
      <c r="N16" s="42">
        <f t="shared" si="32"/>
        <v>7513.9480000000003</v>
      </c>
      <c r="O16" s="42">
        <f t="shared" si="32"/>
        <v>10792.726000000001</v>
      </c>
      <c r="P16" s="42">
        <f t="shared" si="32"/>
        <v>6541.0590000000002</v>
      </c>
      <c r="Q16" s="42">
        <f t="shared" si="32"/>
        <v>12193.315000000001</v>
      </c>
      <c r="R16" s="42">
        <f t="shared" si="32"/>
        <v>14209.781999999999</v>
      </c>
      <c r="S16" s="42">
        <f t="shared" si="32"/>
        <v>26547.709000000003</v>
      </c>
      <c r="T16" s="42">
        <f t="shared" si="32"/>
        <v>22167.098999999998</v>
      </c>
      <c r="U16" s="42">
        <f t="shared" si="32"/>
        <v>23046.22</v>
      </c>
      <c r="V16" s="42">
        <f t="shared" si="32"/>
        <v>21505.758000000002</v>
      </c>
      <c r="W16" s="42">
        <f t="shared" si="32"/>
        <v>27230.862000000008</v>
      </c>
      <c r="X16" s="42">
        <f t="shared" si="32"/>
        <v>23793.688999999998</v>
      </c>
      <c r="Y16" s="42">
        <f t="shared" si="32"/>
        <v>31439.567999999999</v>
      </c>
      <c r="Z16" s="42">
        <f t="shared" si="32"/>
        <v>35504.303999999996</v>
      </c>
      <c r="AA16" s="42">
        <f t="shared" si="32"/>
        <v>39820.027999999991</v>
      </c>
      <c r="AB16" s="42">
        <f t="shared" si="32"/>
        <v>37637.050000000003</v>
      </c>
      <c r="AC16" s="42">
        <f t="shared" si="32"/>
        <v>52280.748</v>
      </c>
      <c r="AD16" s="42">
        <f t="shared" si="32"/>
        <v>68840.370999999999</v>
      </c>
      <c r="AE16" s="42">
        <f t="shared" ref="AE16:AF16" si="33">+AE559</f>
        <v>88881.035999999993</v>
      </c>
      <c r="AF16" s="42">
        <f t="shared" si="33"/>
        <v>86812.059000000008</v>
      </c>
      <c r="AG16" s="42">
        <f t="shared" ref="AG16:AH16" si="34">+AG559</f>
        <v>97059.531000000003</v>
      </c>
      <c r="AH16" s="42">
        <f t="shared" si="34"/>
        <v>99354.400999999998</v>
      </c>
      <c r="AI16" s="42">
        <f t="shared" ref="AI16" si="35">+AI130</f>
        <v>109870.30032498014</v>
      </c>
      <c r="AJ16" s="42">
        <f t="shared" ref="AJ16:AM16" si="36">+AJ130</f>
        <v>95352.150978600635</v>
      </c>
      <c r="AK16" s="42">
        <f t="shared" si="36"/>
        <v>111184.7784572737</v>
      </c>
      <c r="AL16" s="42">
        <f t="shared" si="36"/>
        <v>119101.4659402923</v>
      </c>
      <c r="AM16" s="42">
        <f t="shared" si="36"/>
        <v>132868.66453765705</v>
      </c>
      <c r="AO16" s="42">
        <f t="shared" ref="AO16:AU16" si="37">+AO559</f>
        <v>504.86400000000003</v>
      </c>
      <c r="AP16" s="42">
        <f t="shared" si="37"/>
        <v>1744.0760000000002</v>
      </c>
      <c r="AQ16" s="42">
        <f t="shared" si="37"/>
        <v>13119.990000000002</v>
      </c>
      <c r="AR16" s="42">
        <f t="shared" si="37"/>
        <v>30141.885999999999</v>
      </c>
      <c r="AS16" s="42">
        <f t="shared" si="37"/>
        <v>59491.865000000005</v>
      </c>
      <c r="AT16" s="42">
        <f t="shared" si="37"/>
        <v>93949.938999999998</v>
      </c>
      <c r="AU16" s="42">
        <f t="shared" si="37"/>
        <v>130557.58900000001</v>
      </c>
      <c r="AV16" s="42">
        <f t="shared" ref="AV16" si="38">+AV559</f>
        <v>247639.20499999999</v>
      </c>
      <c r="AW16" s="42">
        <f>+SUM(AF16:AI16)</f>
        <v>393096.29132498021</v>
      </c>
      <c r="AX16" s="42">
        <f t="shared" si="19"/>
        <v>458507.05991382367</v>
      </c>
      <c r="AZ16" s="42"/>
      <c r="BA16" s="207">
        <f>+SUM(AD16:AG16)/SUM(Z16:AC16)-1</f>
        <v>1.0672270261827297</v>
      </c>
    </row>
    <row r="17" spans="2:55" s="1" customFormat="1" x14ac:dyDescent="0.2">
      <c r="B17" s="38"/>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O17" s="42"/>
      <c r="AP17" s="42"/>
      <c r="AQ17" s="42"/>
      <c r="AR17" s="42"/>
      <c r="AS17" s="42"/>
      <c r="AT17" s="42"/>
      <c r="AU17" s="42"/>
      <c r="AV17" s="42"/>
    </row>
    <row r="18" spans="2:55" x14ac:dyDescent="0.2">
      <c r="B18" s="19" t="s">
        <v>85</v>
      </c>
      <c r="O18" s="33"/>
      <c r="R18" s="33"/>
      <c r="S18" s="33"/>
      <c r="U18" s="33"/>
      <c r="V18" s="33"/>
      <c r="W18" s="33"/>
      <c r="Z18" s="33"/>
      <c r="AA18" s="33"/>
      <c r="BC18" s="1"/>
    </row>
    <row r="19" spans="2:55" x14ac:dyDescent="0.2">
      <c r="B19" s="20" t="s">
        <v>225</v>
      </c>
      <c r="L19" s="46">
        <f t="shared" ref="L19:U23" si="39">IFERROR(L12/H12-1,"n/a")</f>
        <v>2.5632289504557355</v>
      </c>
      <c r="M19" s="46">
        <f t="shared" si="39"/>
        <v>1.7276271303678858</v>
      </c>
      <c r="N19" s="46">
        <f t="shared" si="39"/>
        <v>1.2565997959077313</v>
      </c>
      <c r="O19" s="46">
        <f t="shared" si="39"/>
        <v>0.91346813691115147</v>
      </c>
      <c r="P19" s="46">
        <f t="shared" si="39"/>
        <v>0.39100661683399962</v>
      </c>
      <c r="Q19" s="46">
        <f t="shared" si="39"/>
        <v>0.7093819723389545</v>
      </c>
      <c r="R19" s="46">
        <f t="shared" si="39"/>
        <v>0.86022792375125801</v>
      </c>
      <c r="S19" s="46">
        <f t="shared" si="39"/>
        <v>0.95339764351096257</v>
      </c>
      <c r="T19" s="46">
        <f t="shared" si="39"/>
        <v>1.5693358119684575</v>
      </c>
      <c r="U19" s="46">
        <f t="shared" si="39"/>
        <v>0.63554164935125335</v>
      </c>
      <c r="V19" s="46">
        <f t="shared" ref="V19:AH23" si="40">IFERROR(V12/R12-1,"n/a")</f>
        <v>0.43746349571592291</v>
      </c>
      <c r="W19" s="46">
        <f t="shared" si="40"/>
        <v>0.18513004060094174</v>
      </c>
      <c r="X19" s="46">
        <f t="shared" si="40"/>
        <v>0.28678333380339938</v>
      </c>
      <c r="Y19" s="46">
        <f t="shared" si="40"/>
        <v>0.39226037847906059</v>
      </c>
      <c r="Z19" s="46">
        <f t="shared" si="40"/>
        <v>0.58391058622251402</v>
      </c>
      <c r="AA19" s="46">
        <f t="shared" si="40"/>
        <v>0.3808339629505475</v>
      </c>
      <c r="AB19" s="46">
        <f t="shared" si="40"/>
        <v>0.50037384850282995</v>
      </c>
      <c r="AC19" s="46">
        <f t="shared" si="40"/>
        <v>0.50690648354835566</v>
      </c>
      <c r="AD19" s="46">
        <f t="shared" si="40"/>
        <v>0.39619269852979588</v>
      </c>
      <c r="AE19" s="46">
        <f t="shared" si="40"/>
        <v>0.57194570951141555</v>
      </c>
      <c r="AF19" s="46">
        <f t="shared" si="40"/>
        <v>0.55834602644959386</v>
      </c>
      <c r="AG19" s="46">
        <f t="shared" si="40"/>
        <v>0.29481150510490517</v>
      </c>
      <c r="AH19" s="46">
        <f t="shared" si="40"/>
        <v>0.24348474103221651</v>
      </c>
      <c r="AI19" s="46">
        <f t="shared" ref="AI19:AJ23" si="41">IFERROR(AI12/AE12-1,"n/a")</f>
        <v>0.15978039941829647</v>
      </c>
      <c r="AJ19" s="46">
        <f t="shared" si="41"/>
        <v>0.10335393665640336</v>
      </c>
      <c r="AK19" s="46">
        <f t="shared" ref="AK19:AK23" si="42">IFERROR(AK12/AG12-1,"n/a")</f>
        <v>9.1425096790316074E-2</v>
      </c>
      <c r="AL19" s="46">
        <f t="shared" ref="AL19:AL23" si="43">IFERROR(AL12/AH12-1,"n/a")</f>
        <v>0.15937249999999992</v>
      </c>
      <c r="AM19" s="46">
        <f t="shared" ref="AM19:AM23" si="44">IFERROR(AM12/AI12-1,"n/a")</f>
        <v>0.15937249999999969</v>
      </c>
      <c r="AN19" s="55"/>
      <c r="AO19" s="55"/>
      <c r="AP19" s="46" t="str">
        <f t="shared" ref="AP19:AV23" si="45">IFERROR(AP12/AO12-1,"n/a")</f>
        <v>n/a</v>
      </c>
      <c r="AQ19" s="46">
        <f t="shared" si="45"/>
        <v>8.5227098881561272</v>
      </c>
      <c r="AR19" s="46">
        <f t="shared" si="45"/>
        <v>1.3284674017580538</v>
      </c>
      <c r="AS19" s="46">
        <f t="shared" si="45"/>
        <v>0.7884098246858755</v>
      </c>
      <c r="AT19" s="46">
        <f t="shared" si="45"/>
        <v>0.51319465354336313</v>
      </c>
      <c r="AU19" s="46">
        <f t="shared" si="45"/>
        <v>0.41561615316768075</v>
      </c>
      <c r="AV19" s="46">
        <f t="shared" si="45"/>
        <v>0.49472037731692042</v>
      </c>
      <c r="AW19" s="46">
        <f t="shared" ref="AW19:AX19" si="46">IFERROR(AW12/AV12-1,"n/a")</f>
        <v>0.28549855285445269</v>
      </c>
      <c r="AX19" s="46">
        <f t="shared" si="46"/>
        <v>0.13041442660869906</v>
      </c>
    </row>
    <row r="20" spans="2:55" ht="13.5" x14ac:dyDescent="0.35">
      <c r="B20" s="20" t="s">
        <v>226</v>
      </c>
      <c r="L20" s="47">
        <f t="shared" si="39"/>
        <v>1.1583412898185919</v>
      </c>
      <c r="M20" s="47">
        <f t="shared" si="39"/>
        <v>1.4340420119848325</v>
      </c>
      <c r="N20" s="47">
        <f t="shared" si="39"/>
        <v>1.014931968775187</v>
      </c>
      <c r="O20" s="47">
        <f t="shared" si="39"/>
        <v>0.86972904805052553</v>
      </c>
      <c r="P20" s="47">
        <f t="shared" si="39"/>
        <v>0.75738366929740786</v>
      </c>
      <c r="Q20" s="47">
        <f t="shared" si="39"/>
        <v>0.38360502348302128</v>
      </c>
      <c r="R20" s="47">
        <f t="shared" si="39"/>
        <v>0.65998208084058052</v>
      </c>
      <c r="S20" s="47">
        <f t="shared" si="39"/>
        <v>1.0504788761938002</v>
      </c>
      <c r="T20" s="47">
        <f t="shared" si="39"/>
        <v>1.7951046397321102</v>
      </c>
      <c r="U20" s="47">
        <f t="shared" si="39"/>
        <v>1.6414834839107444</v>
      </c>
      <c r="V20" s="47">
        <f t="shared" si="40"/>
        <v>1.6102277265479787</v>
      </c>
      <c r="W20" s="47">
        <f t="shared" si="40"/>
        <v>1.0830813731736848</v>
      </c>
      <c r="X20" s="47">
        <f t="shared" si="40"/>
        <v>0.90736983941531157</v>
      </c>
      <c r="Y20" s="47">
        <f t="shared" si="40"/>
        <v>1.0668069096081378</v>
      </c>
      <c r="Z20" s="47">
        <f t="shared" si="40"/>
        <v>1.0195441837805537</v>
      </c>
      <c r="AA20" s="47">
        <f t="shared" si="40"/>
        <v>0.86203981254771844</v>
      </c>
      <c r="AB20" s="47">
        <f t="shared" si="40"/>
        <v>0.85867778897154134</v>
      </c>
      <c r="AC20" s="47">
        <f t="shared" si="40"/>
        <v>1.3081465916434247</v>
      </c>
      <c r="AD20" s="47">
        <f t="shared" si="40"/>
        <v>3.1514734874225532</v>
      </c>
      <c r="AE20" s="47">
        <f t="shared" si="40"/>
        <v>3.5705488512189003</v>
      </c>
      <c r="AF20" s="47">
        <f t="shared" si="40"/>
        <v>3.2680093112191875</v>
      </c>
      <c r="AG20" s="47">
        <f t="shared" si="40"/>
        <v>2.3415069936632618</v>
      </c>
      <c r="AH20" s="47">
        <f t="shared" si="40"/>
        <v>0.71522332430832392</v>
      </c>
      <c r="AI20" s="47">
        <f t="shared" si="41"/>
        <v>0.32860881185236579</v>
      </c>
      <c r="AJ20" s="47">
        <f t="shared" si="41"/>
        <v>9.3608290937760241E-2</v>
      </c>
      <c r="AK20" s="47">
        <f t="shared" si="42"/>
        <v>0.20096137110676682</v>
      </c>
      <c r="AL20" s="47">
        <f t="shared" si="43"/>
        <v>0.23762132528278346</v>
      </c>
      <c r="AM20" s="47">
        <f t="shared" si="44"/>
        <v>0.26211192309301667</v>
      </c>
      <c r="AN20" s="56"/>
      <c r="AO20" s="56"/>
      <c r="AP20" s="47">
        <f t="shared" si="45"/>
        <v>10.007871406081698</v>
      </c>
      <c r="AQ20" s="47">
        <f t="shared" si="45"/>
        <v>2.0191319041955826</v>
      </c>
      <c r="AR20" s="47">
        <f t="shared" si="45"/>
        <v>1.0744289974850645</v>
      </c>
      <c r="AS20" s="47">
        <f t="shared" si="45"/>
        <v>0.73887889863877221</v>
      </c>
      <c r="AT20" s="47">
        <f t="shared" si="45"/>
        <v>1.4433100097366443</v>
      </c>
      <c r="AU20" s="47">
        <f t="shared" si="45"/>
        <v>0.95372113007161219</v>
      </c>
      <c r="AV20" s="47">
        <f t="shared" si="45"/>
        <v>2.4061018383295401</v>
      </c>
      <c r="AW20" s="47">
        <f t="shared" ref="AW20:AX20" si="47">IFERROR(AW13/AV13-1,"n/a")</f>
        <v>1.0799461892292324</v>
      </c>
      <c r="AX20" s="47">
        <f t="shared" si="47"/>
        <v>0.20268773320705646</v>
      </c>
    </row>
    <row r="21" spans="2:55" x14ac:dyDescent="0.2">
      <c r="B21" s="30" t="s">
        <v>223</v>
      </c>
      <c r="L21" s="46">
        <f t="shared" si="39"/>
        <v>2.2826743242111105</v>
      </c>
      <c r="M21" s="46">
        <f t="shared" si="39"/>
        <v>1.6909871593173387</v>
      </c>
      <c r="N21" s="46">
        <f t="shared" si="39"/>
        <v>1.228059511009608</v>
      </c>
      <c r="O21" s="46">
        <f t="shared" si="39"/>
        <v>0.90889191608939801</v>
      </c>
      <c r="P21" s="46">
        <f t="shared" si="39"/>
        <v>0.4391123038701894</v>
      </c>
      <c r="Q21" s="46">
        <f t="shared" si="39"/>
        <v>0.67260653211903199</v>
      </c>
      <c r="R21" s="46">
        <f t="shared" si="39"/>
        <v>0.83884157835534645</v>
      </c>
      <c r="S21" s="46">
        <f t="shared" si="39"/>
        <v>0.9633464242490728</v>
      </c>
      <c r="T21" s="46">
        <f t="shared" si="39"/>
        <v>1.6055354339412009</v>
      </c>
      <c r="U21" s="46">
        <f t="shared" si="39"/>
        <v>0.72947693059680652</v>
      </c>
      <c r="V21" s="46">
        <f t="shared" si="40"/>
        <v>0.55053231680485437</v>
      </c>
      <c r="W21" s="46">
        <f t="shared" si="40"/>
        <v>0.28123498692299087</v>
      </c>
      <c r="X21" s="46">
        <f t="shared" si="40"/>
        <v>0.39352733365991965</v>
      </c>
      <c r="Y21" s="46">
        <f t="shared" si="40"/>
        <v>0.48846610192679196</v>
      </c>
      <c r="Z21" s="46">
        <f t="shared" si="40"/>
        <v>0.65461574392366395</v>
      </c>
      <c r="AA21" s="46">
        <f t="shared" si="40"/>
        <v>0.46456785635225151</v>
      </c>
      <c r="AB21" s="46">
        <f t="shared" si="40"/>
        <v>0.58472910461008754</v>
      </c>
      <c r="AC21" s="46">
        <f t="shared" si="40"/>
        <v>0.66558299126397014</v>
      </c>
      <c r="AD21" s="46">
        <f t="shared" si="40"/>
        <v>0.94201565751559269</v>
      </c>
      <c r="AE21" s="46">
        <f t="shared" si="40"/>
        <v>1.2353355910596777</v>
      </c>
      <c r="AF21" s="46">
        <f t="shared" si="40"/>
        <v>1.3065585373986539</v>
      </c>
      <c r="AG21" s="46">
        <f t="shared" si="40"/>
        <v>0.85650616552004966</v>
      </c>
      <c r="AH21" s="46">
        <f t="shared" si="40"/>
        <v>0.44325777965374424</v>
      </c>
      <c r="AI21" s="46">
        <f t="shared" si="41"/>
        <v>0.23615008633540402</v>
      </c>
      <c r="AJ21" s="46">
        <f t="shared" si="41"/>
        <v>9.8374489408212584E-2</v>
      </c>
      <c r="AK21" s="46">
        <f t="shared" si="42"/>
        <v>0.14553179179563203</v>
      </c>
      <c r="AL21" s="46">
        <f t="shared" si="43"/>
        <v>0.19875380196084413</v>
      </c>
      <c r="AM21" s="46">
        <f t="shared" si="44"/>
        <v>0.20932284834619685</v>
      </c>
      <c r="AN21" s="55"/>
      <c r="AO21" s="55"/>
      <c r="AP21" s="46">
        <f t="shared" si="45"/>
        <v>35.057067694092304</v>
      </c>
      <c r="AQ21" s="46">
        <f t="shared" si="45"/>
        <v>6.5372309042788181</v>
      </c>
      <c r="AR21" s="46">
        <f t="shared" si="45"/>
        <v>1.2974015986292669</v>
      </c>
      <c r="AS21" s="46">
        <f t="shared" si="45"/>
        <v>0.78294065606909946</v>
      </c>
      <c r="AT21" s="46">
        <f t="shared" si="45"/>
        <v>0.6133592230942988</v>
      </c>
      <c r="AU21" s="46">
        <f t="shared" si="45"/>
        <v>0.50337518456936836</v>
      </c>
      <c r="AV21" s="46">
        <f t="shared" si="45"/>
        <v>0.89982516703808413</v>
      </c>
      <c r="AW21" s="46">
        <f t="shared" ref="AW21:AX21" si="48">IFERROR(AW14/AV14-1,"n/a")</f>
        <v>0.58737503346846953</v>
      </c>
      <c r="AX21" s="46">
        <f t="shared" si="48"/>
        <v>0.16639884433498042</v>
      </c>
    </row>
    <row r="22" spans="2:55" ht="13.5" x14ac:dyDescent="0.35">
      <c r="B22" s="20" t="s">
        <v>222</v>
      </c>
      <c r="L22" s="47" t="str">
        <f t="shared" si="39"/>
        <v>n/a</v>
      </c>
      <c r="M22" s="47" t="str">
        <f t="shared" si="39"/>
        <v>n/a</v>
      </c>
      <c r="N22" s="47" t="str">
        <f t="shared" si="39"/>
        <v>n/a</v>
      </c>
      <c r="O22" s="47" t="str">
        <f t="shared" si="39"/>
        <v>n/a</v>
      </c>
      <c r="P22" s="47" t="str">
        <f t="shared" si="39"/>
        <v>n/a</v>
      </c>
      <c r="Q22" s="47" t="str">
        <f t="shared" si="39"/>
        <v>n/a</v>
      </c>
      <c r="R22" s="47" t="str">
        <f t="shared" si="39"/>
        <v>n/a</v>
      </c>
      <c r="S22" s="47" t="str">
        <f t="shared" si="39"/>
        <v>n/a</v>
      </c>
      <c r="T22" s="47" t="str">
        <f t="shared" si="39"/>
        <v>n/a</v>
      </c>
      <c r="U22" s="47" t="str">
        <f t="shared" si="39"/>
        <v>n/a</v>
      </c>
      <c r="V22" s="47">
        <f t="shared" si="40"/>
        <v>-0.79096130053815727</v>
      </c>
      <c r="W22" s="47">
        <f t="shared" si="40"/>
        <v>-0.98475656928741362</v>
      </c>
      <c r="X22" s="47">
        <f t="shared" si="40"/>
        <v>-0.99144109701963534</v>
      </c>
      <c r="Y22" s="47">
        <f t="shared" si="40"/>
        <v>-0.9741032794511999</v>
      </c>
      <c r="Z22" s="47">
        <f t="shared" si="40"/>
        <v>-0.31307312914814589</v>
      </c>
      <c r="AA22" s="47">
        <f t="shared" si="40"/>
        <v>-0.28743020863943991</v>
      </c>
      <c r="AB22" s="47">
        <f t="shared" si="40"/>
        <v>-1</v>
      </c>
      <c r="AC22" s="47">
        <f t="shared" si="40"/>
        <v>-1</v>
      </c>
      <c r="AD22" s="47">
        <f t="shared" si="40"/>
        <v>-1</v>
      </c>
      <c r="AE22" s="47">
        <f t="shared" si="40"/>
        <v>-1</v>
      </c>
      <c r="AF22" s="47" t="str">
        <f t="shared" si="40"/>
        <v>n/a</v>
      </c>
      <c r="AG22" s="47" t="str">
        <f t="shared" si="40"/>
        <v>n/a</v>
      </c>
      <c r="AH22" s="47" t="str">
        <f t="shared" si="40"/>
        <v>n/a</v>
      </c>
      <c r="AI22" s="47" t="str">
        <f t="shared" si="41"/>
        <v>n/a</v>
      </c>
      <c r="AJ22" s="47" t="str">
        <f t="shared" si="41"/>
        <v>n/a</v>
      </c>
      <c r="AK22" s="47" t="str">
        <f t="shared" si="42"/>
        <v>n/a</v>
      </c>
      <c r="AL22" s="47" t="str">
        <f t="shared" si="43"/>
        <v>n/a</v>
      </c>
      <c r="AM22" s="47" t="str">
        <f t="shared" si="44"/>
        <v>n/a</v>
      </c>
      <c r="AN22" s="56"/>
      <c r="AO22" s="56"/>
      <c r="AP22" s="47">
        <f t="shared" si="45"/>
        <v>-0.99258631413878595</v>
      </c>
      <c r="AQ22" s="47">
        <f t="shared" si="45"/>
        <v>-1</v>
      </c>
      <c r="AR22" s="47" t="str">
        <f t="shared" si="45"/>
        <v>n/a</v>
      </c>
      <c r="AS22" s="47" t="str">
        <f t="shared" si="45"/>
        <v>n/a</v>
      </c>
      <c r="AT22" s="47">
        <f t="shared" si="45"/>
        <v>0.26004217594781531</v>
      </c>
      <c r="AU22" s="47">
        <f t="shared" si="45"/>
        <v>-0.97113325148687124</v>
      </c>
      <c r="AV22" s="47">
        <f t="shared" si="45"/>
        <v>-1</v>
      </c>
      <c r="AW22" s="47" t="str">
        <f t="shared" ref="AW22:AX22" si="49">IFERROR(AW15/AV15-1,"n/a")</f>
        <v>n/a</v>
      </c>
      <c r="AX22" s="47" t="str">
        <f t="shared" si="49"/>
        <v>n/a</v>
      </c>
    </row>
    <row r="23" spans="2:55" x14ac:dyDescent="0.2">
      <c r="B23" s="30" t="s">
        <v>224</v>
      </c>
      <c r="L23" s="46">
        <f t="shared" si="39"/>
        <v>2.2826743242111105</v>
      </c>
      <c r="M23" s="46">
        <f t="shared" si="39"/>
        <v>1.6909871593173387</v>
      </c>
      <c r="N23" s="46">
        <f t="shared" si="39"/>
        <v>1.228059511009608</v>
      </c>
      <c r="O23" s="46">
        <f t="shared" si="39"/>
        <v>0.90889191608939801</v>
      </c>
      <c r="P23" s="46">
        <f t="shared" si="39"/>
        <v>0.4391123038701894</v>
      </c>
      <c r="Q23" s="46">
        <f t="shared" si="39"/>
        <v>0.67260653211903199</v>
      </c>
      <c r="R23" s="46">
        <f t="shared" si="39"/>
        <v>0.89112061994573266</v>
      </c>
      <c r="S23" s="46">
        <f t="shared" si="39"/>
        <v>1.4597779096773142</v>
      </c>
      <c r="T23" s="46">
        <f t="shared" si="39"/>
        <v>2.3889159232472905</v>
      </c>
      <c r="U23" s="46">
        <f t="shared" si="39"/>
        <v>0.89007009168548512</v>
      </c>
      <c r="V23" s="46">
        <f t="shared" si="40"/>
        <v>0.51344742656854292</v>
      </c>
      <c r="W23" s="46">
        <f t="shared" si="40"/>
        <v>2.573303029651286E-2</v>
      </c>
      <c r="X23" s="46">
        <f t="shared" si="40"/>
        <v>7.3378568842048297E-2</v>
      </c>
      <c r="Y23" s="46">
        <f t="shared" si="40"/>
        <v>0.36419629770088102</v>
      </c>
      <c r="Z23" s="46">
        <f t="shared" si="40"/>
        <v>0.6509208371079036</v>
      </c>
      <c r="AA23" s="46">
        <f t="shared" si="40"/>
        <v>0.46231243065313099</v>
      </c>
      <c r="AB23" s="46">
        <f t="shared" si="40"/>
        <v>0.58180810045890752</v>
      </c>
      <c r="AC23" s="46">
        <f t="shared" si="40"/>
        <v>0.66289651308185915</v>
      </c>
      <c r="AD23" s="46">
        <f t="shared" si="40"/>
        <v>0.93893030546381095</v>
      </c>
      <c r="AE23" s="46">
        <f t="shared" si="40"/>
        <v>1.2320686464610224</v>
      </c>
      <c r="AF23" s="46">
        <f t="shared" si="40"/>
        <v>1.3065585373986539</v>
      </c>
      <c r="AG23" s="46">
        <f t="shared" si="40"/>
        <v>0.85650616552004966</v>
      </c>
      <c r="AH23" s="46">
        <f t="shared" si="40"/>
        <v>0.44325777965374424</v>
      </c>
      <c r="AI23" s="46">
        <f t="shared" si="41"/>
        <v>0.23615008633540402</v>
      </c>
      <c r="AJ23" s="46">
        <f t="shared" si="41"/>
        <v>9.8374489408212584E-2</v>
      </c>
      <c r="AK23" s="46">
        <f t="shared" si="42"/>
        <v>0.14553179179563203</v>
      </c>
      <c r="AL23" s="46">
        <f t="shared" si="43"/>
        <v>0.19875380196084413</v>
      </c>
      <c r="AM23" s="46">
        <f t="shared" si="44"/>
        <v>0.20932284834619685</v>
      </c>
      <c r="AN23" s="55"/>
      <c r="AO23" s="55"/>
      <c r="AP23" s="46">
        <f t="shared" si="45"/>
        <v>2.4545461748114348</v>
      </c>
      <c r="AQ23" s="46">
        <f t="shared" si="45"/>
        <v>6.5226022260497825</v>
      </c>
      <c r="AR23" s="46">
        <f t="shared" si="45"/>
        <v>1.2974015986292669</v>
      </c>
      <c r="AS23" s="46">
        <f t="shared" si="45"/>
        <v>0.97372735733921911</v>
      </c>
      <c r="AT23" s="46">
        <f t="shared" si="45"/>
        <v>0.57920648478577674</v>
      </c>
      <c r="AU23" s="46">
        <f t="shared" si="45"/>
        <v>0.38965059892162368</v>
      </c>
      <c r="AV23" s="46">
        <f t="shared" si="45"/>
        <v>0.89678138893940496</v>
      </c>
      <c r="AW23" s="46">
        <f t="shared" ref="AW23:AX23" si="50">IFERROR(AW16/AV16-1,"n/a")</f>
        <v>0.58737503346846975</v>
      </c>
      <c r="AX23" s="46">
        <f t="shared" si="50"/>
        <v>0.16639884433498042</v>
      </c>
      <c r="BC23" s="1"/>
    </row>
    <row r="24" spans="2:55" x14ac:dyDescent="0.2">
      <c r="B24" s="30"/>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55"/>
      <c r="AO24" s="55"/>
      <c r="AP24" s="46"/>
      <c r="AQ24" s="46"/>
      <c r="AR24" s="46"/>
      <c r="AS24" s="46"/>
      <c r="AT24" s="46"/>
      <c r="AU24" s="46"/>
      <c r="AV24" s="46"/>
      <c r="AW24" s="46"/>
      <c r="AX24" s="46"/>
      <c r="BC24" s="1"/>
    </row>
    <row r="25" spans="2:55" x14ac:dyDescent="0.2">
      <c r="B25" s="19" t="s">
        <v>261</v>
      </c>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55"/>
      <c r="AO25" s="55"/>
      <c r="AP25" s="46"/>
      <c r="AQ25" s="46"/>
      <c r="AR25" s="46"/>
      <c r="AS25" s="46"/>
      <c r="AT25" s="46"/>
      <c r="AU25" s="46"/>
      <c r="AV25" s="46"/>
      <c r="AW25" s="46"/>
      <c r="AX25" s="46"/>
      <c r="BC25" s="1"/>
    </row>
    <row r="26" spans="2:55" x14ac:dyDescent="0.2">
      <c r="B26" s="20" t="s">
        <v>225</v>
      </c>
      <c r="I26" s="46">
        <f>IFERROR(I12/H12-1,"n/a")</f>
        <v>1.1396552657702377</v>
      </c>
      <c r="J26" s="46">
        <f t="shared" ref="J26" si="51">IFERROR(J12/I12-1,"n/a")</f>
        <v>0.25440962111421905</v>
      </c>
      <c r="K26" s="46">
        <f t="shared" ref="K26" si="52">IFERROR(K12/J12-1,"n/a")</f>
        <v>0.70212884711404455</v>
      </c>
      <c r="L26" s="46">
        <f t="shared" ref="L26" si="53">IFERROR(L12/K12-1,"n/a")</f>
        <v>-0.22004757447981949</v>
      </c>
      <c r="M26" s="46">
        <f t="shared" ref="M26" si="54">IFERROR(M12/L12-1,"n/a")</f>
        <v>0.6378913153483905</v>
      </c>
      <c r="N26" s="46">
        <f t="shared" ref="N26" si="55">IFERROR(N12/M12-1,"n/a")</f>
        <v>3.7788656475657545E-2</v>
      </c>
      <c r="O26" s="46">
        <f t="shared" ref="O26" si="56">IFERROR(O12/N12-1,"n/a")</f>
        <v>0.44330834371980443</v>
      </c>
      <c r="P26" s="46">
        <f t="shared" ref="P26" si="57">IFERROR(P12/O12-1,"n/a")</f>
        <v>-0.4330091189991554</v>
      </c>
      <c r="Q26" s="46">
        <f t="shared" ref="Q26" si="58">IFERROR(Q12/P12-1,"n/a")</f>
        <v>1.012773953210603</v>
      </c>
      <c r="R26" s="46">
        <f t="shared" ref="R26" si="59">IFERROR(R12/Q12-1,"n/a")</f>
        <v>0.12936925097365837</v>
      </c>
      <c r="S26" s="46">
        <f t="shared" ref="S26" si="60">IFERROR(S12/R12-1,"n/a")</f>
        <v>0.51559660054805678</v>
      </c>
      <c r="T26" s="46">
        <f t="shared" ref="T26" si="61">IFERROR(T12/S12-1,"n/a")</f>
        <v>-0.25422763744270871</v>
      </c>
      <c r="U26" s="46">
        <f t="shared" ref="U26" si="62">IFERROR(U12/T12-1,"n/a")</f>
        <v>0.28125549640909542</v>
      </c>
      <c r="V26" s="46">
        <f t="shared" ref="V26" si="63">IFERROR(V12/U12-1,"n/a")</f>
        <v>-7.4070739179220579E-3</v>
      </c>
      <c r="W26" s="46">
        <f t="shared" ref="W26" si="64">IFERROR(W12/V12-1,"n/a")</f>
        <v>0.24954759970971518</v>
      </c>
      <c r="X26" s="46">
        <f t="shared" ref="X26" si="65">IFERROR(X12/W12-1,"n/a")</f>
        <v>-0.1902597908468322</v>
      </c>
      <c r="Y26" s="46">
        <f t="shared" ref="Y26" si="66">IFERROR(Y12/X12-1,"n/a")</f>
        <v>0.38627942676746474</v>
      </c>
      <c r="Z26" s="46">
        <f t="shared" ref="Z26" si="67">IFERROR(Z12/Y12-1,"n/a")</f>
        <v>0.12922731102099649</v>
      </c>
      <c r="AA26" s="46">
        <f t="shared" ref="AA26" si="68">IFERROR(AA12/Z12-1,"n/a")</f>
        <v>8.93403826016963E-2</v>
      </c>
      <c r="AB26" s="46">
        <f t="shared" ref="AB26" si="69">IFERROR(AB12/AA12-1,"n/a")</f>
        <v>-0.12015994211308723</v>
      </c>
      <c r="AC26" s="46">
        <f t="shared" ref="AC26" si="70">IFERROR(AC12/AB12-1,"n/a")</f>
        <v>0.39231529414493815</v>
      </c>
      <c r="AD26" s="46">
        <f t="shared" ref="AD26:AH27" si="71">IFERROR(AD12/AC12-1,"n/a")</f>
        <v>4.6261957089361427E-2</v>
      </c>
      <c r="AE26" s="46">
        <f t="shared" si="71"/>
        <v>0.22646676381520736</v>
      </c>
      <c r="AF26" s="46">
        <f t="shared" si="71"/>
        <v>-0.12777187543874635</v>
      </c>
      <c r="AG26" s="46">
        <f t="shared" si="71"/>
        <v>0.15685850959539693</v>
      </c>
      <c r="AH26" s="46">
        <f t="shared" si="71"/>
        <v>4.7877807957208418E-3</v>
      </c>
      <c r="AI26" s="46">
        <f t="shared" ref="AI26:AJ26" si="72">IFERROR(AI12/AH12-1,"n/a")</f>
        <v>0.14390797592747773</v>
      </c>
      <c r="AJ26" s="46">
        <f t="shared" si="72"/>
        <v>-0.17020813993771244</v>
      </c>
      <c r="AK26" s="46">
        <f t="shared" ref="AK26:AK30" si="73">IFERROR(AK12/AJ12-1,"n/a")</f>
        <v>0.14435120849263061</v>
      </c>
      <c r="AL26" s="46">
        <f t="shared" ref="AL26:AL30" si="74">IFERROR(AL12/AK12-1,"n/a")</f>
        <v>6.7341519648408177E-2</v>
      </c>
      <c r="AM26" s="46">
        <f t="shared" ref="AM26:AM30" si="75">IFERROR(AM12/AL12-1,"n/a")</f>
        <v>0.1439079759274775</v>
      </c>
      <c r="AN26" s="55"/>
      <c r="AO26" s="55"/>
      <c r="AP26" s="46"/>
      <c r="AQ26" s="46"/>
      <c r="AR26" s="46"/>
      <c r="AS26" s="46"/>
      <c r="AT26" s="46"/>
      <c r="AU26" s="46"/>
      <c r="AV26" s="46"/>
      <c r="AW26" s="46"/>
      <c r="AX26" s="46"/>
    </row>
    <row r="27" spans="2:55" ht="13.5" x14ac:dyDescent="0.35">
      <c r="B27" s="20" t="s">
        <v>226</v>
      </c>
      <c r="I27" s="47">
        <f>IFERROR(I13/H13-1,"n/a")</f>
        <v>0.2227454214043918</v>
      </c>
      <c r="J27" s="47">
        <f t="shared" ref="J27" si="76">IFERROR(J13/I13-1,"n/a")</f>
        <v>0.17799487716433893</v>
      </c>
      <c r="K27" s="47">
        <f t="shared" ref="K27" si="77">IFERROR(K13/J13-1,"n/a")</f>
        <v>0.48527266472997144</v>
      </c>
      <c r="L27" s="47">
        <f t="shared" ref="L27" si="78">IFERROR(L13/K13-1,"n/a")</f>
        <v>8.8683174877945969E-3</v>
      </c>
      <c r="M27" s="47">
        <f t="shared" ref="M27" si="79">IFERROR(M13/L13-1,"n/a")</f>
        <v>0.37893563900199401</v>
      </c>
      <c r="N27" s="47">
        <f t="shared" ref="N27" si="80">IFERROR(N13/M13-1,"n/a")</f>
        <v>-2.4840357986961159E-2</v>
      </c>
      <c r="O27" s="47">
        <f t="shared" ref="O27" si="81">IFERROR(O13/N13-1,"n/a")</f>
        <v>0.37823881329805986</v>
      </c>
      <c r="P27" s="47">
        <f t="shared" ref="P27" si="82">IFERROR(P13/O13-1,"n/a")</f>
        <v>-5.1750997037142921E-2</v>
      </c>
      <c r="Q27" s="47">
        <f t="shared" ref="Q27" si="83">IFERROR(Q13/P13-1,"n/a")</f>
        <v>8.5649258335089407E-2</v>
      </c>
      <c r="R27" s="47">
        <f t="shared" ref="R27" si="84">IFERROR(R13/Q13-1,"n/a")</f>
        <v>0.16994915761840912</v>
      </c>
      <c r="S27" s="47">
        <f t="shared" ref="S27" si="85">IFERROR(S13/R13-1,"n/a")</f>
        <v>0.70245787929652215</v>
      </c>
      <c r="T27" s="47">
        <f t="shared" ref="T27" si="86">IFERROR(T13/S13-1,"n/a")</f>
        <v>0.29260301999439986</v>
      </c>
      <c r="U27" s="47">
        <f t="shared" ref="U27" si="87">IFERROR(U13/T13-1,"n/a")</f>
        <v>2.5981118720098229E-2</v>
      </c>
      <c r="V27" s="47">
        <f t="shared" ref="V27" si="88">IFERROR(V13/U13-1,"n/a")</f>
        <v>0.15610555525631753</v>
      </c>
      <c r="W27" s="47">
        <f t="shared" ref="W27" si="89">IFERROR(W13/V13-1,"n/a")</f>
        <v>0.35863942479279776</v>
      </c>
      <c r="X27" s="47">
        <f t="shared" ref="X27" si="90">IFERROR(X13/W13-1,"n/a")</f>
        <v>0.18356970900190439</v>
      </c>
      <c r="Y27" s="47">
        <f t="shared" ref="Y27" si="91">IFERROR(Y13/X13-1,"n/a")</f>
        <v>0.11174289405153304</v>
      </c>
      <c r="Z27" s="47">
        <f t="shared" ref="Z27" si="92">IFERROR(Z13/Y13-1,"n/a")</f>
        <v>0.12966830094300263</v>
      </c>
      <c r="AA27" s="47">
        <f t="shared" ref="AA27" si="93">IFERROR(AA13/Z13-1,"n/a")</f>
        <v>0.25267905509514565</v>
      </c>
      <c r="AB27" s="47">
        <f t="shared" ref="AB27" si="94">IFERROR(AB13/AA13-1,"n/a")</f>
        <v>0.18143270353139895</v>
      </c>
      <c r="AC27" s="47">
        <f t="shared" ref="AC27" si="95">IFERROR(AC13/AB13-1,"n/a")</f>
        <v>0.38058655831289578</v>
      </c>
      <c r="AD27" s="47">
        <f t="shared" ref="AD27:AE27" si="96">IFERROR(AD13/AC13-1,"n/a")</f>
        <v>1.0318414861195531</v>
      </c>
      <c r="AE27" s="47">
        <f t="shared" si="96"/>
        <v>0.37913221258838758</v>
      </c>
      <c r="AF27" s="47">
        <f t="shared" si="71"/>
        <v>0.10322981842894907</v>
      </c>
      <c r="AG27" s="47">
        <f t="shared" si="71"/>
        <v>8.0887904305491753E-2</v>
      </c>
      <c r="AH27" s="47">
        <f t="shared" si="71"/>
        <v>4.2961129483947369E-2</v>
      </c>
      <c r="AI27" s="47">
        <f t="shared" ref="AI27:AJ27" si="97">IFERROR(AI13/AH13-1,"n/a")</f>
        <v>6.8273258873319698E-2</v>
      </c>
      <c r="AJ27" s="47">
        <f t="shared" si="97"/>
        <v>-9.1906311714479161E-2</v>
      </c>
      <c r="AK27" s="47">
        <f t="shared" si="73"/>
        <v>0.18699229909305903</v>
      </c>
      <c r="AL27" s="47">
        <f t="shared" si="74"/>
        <v>7.4798046252562589E-2</v>
      </c>
      <c r="AM27" s="47">
        <f t="shared" si="75"/>
        <v>8.9412722294019753E-2</v>
      </c>
      <c r="AN27" s="55"/>
      <c r="AO27" s="55"/>
      <c r="AP27" s="46"/>
      <c r="AQ27" s="46"/>
      <c r="AR27" s="46"/>
      <c r="AS27" s="46"/>
      <c r="AT27" s="46"/>
      <c r="AU27" s="46"/>
      <c r="AV27" s="46"/>
      <c r="AW27" s="46"/>
      <c r="AX27" s="46"/>
    </row>
    <row r="28" spans="2:55" x14ac:dyDescent="0.2">
      <c r="B28" s="30" t="s">
        <v>223</v>
      </c>
      <c r="I28" s="46">
        <f>IFERROR(I14/H14-1,"n/a")</f>
        <v>0.95654930940543337</v>
      </c>
      <c r="J28" s="46">
        <f t="shared" ref="J28:AJ28" si="98">IFERROR(J14/I14-1,"n/a")</f>
        <v>0.24487291836314329</v>
      </c>
      <c r="K28" s="46">
        <f t="shared" si="98"/>
        <v>0.67651874708295345</v>
      </c>
      <c r="L28" s="46">
        <f t="shared" si="98"/>
        <v>-0.19609715167630537</v>
      </c>
      <c r="M28" s="46">
        <f t="shared" si="98"/>
        <v>0.60389016642597348</v>
      </c>
      <c r="N28" s="46">
        <f t="shared" si="98"/>
        <v>3.071875915636868E-2</v>
      </c>
      <c r="O28" s="46">
        <f t="shared" si="98"/>
        <v>0.43635888882914808</v>
      </c>
      <c r="P28" s="46">
        <f t="shared" si="98"/>
        <v>-0.39393819503988148</v>
      </c>
      <c r="Q28" s="46">
        <f t="shared" si="98"/>
        <v>0.86411940329539916</v>
      </c>
      <c r="R28" s="46">
        <f t="shared" si="98"/>
        <v>0.13315862011274193</v>
      </c>
      <c r="S28" s="46">
        <f t="shared" si="98"/>
        <v>0.53361231414146104</v>
      </c>
      <c r="T28" s="46">
        <f t="shared" si="98"/>
        <v>-0.19570204805506031</v>
      </c>
      <c r="U28" s="46">
        <f t="shared" si="98"/>
        <v>0.23734701968748273</v>
      </c>
      <c r="V28" s="46">
        <f t="shared" si="98"/>
        <v>1.5913557138051981E-2</v>
      </c>
      <c r="W28" s="46">
        <f t="shared" si="98"/>
        <v>0.26725365989341809</v>
      </c>
      <c r="X28" s="46">
        <f t="shared" si="98"/>
        <v>-0.12521029172509412</v>
      </c>
      <c r="Y28" s="46">
        <f t="shared" si="98"/>
        <v>0.32164547521851961</v>
      </c>
      <c r="Z28" s="46">
        <f t="shared" si="98"/>
        <v>0.1293146440689239</v>
      </c>
      <c r="AA28" s="46">
        <f t="shared" si="98"/>
        <v>0.1216978823877759</v>
      </c>
      <c r="AB28" s="46">
        <f t="shared" si="98"/>
        <v>-5.3437705119766421E-2</v>
      </c>
      <c r="AC28" s="46">
        <f t="shared" si="98"/>
        <v>0.38907666780472949</v>
      </c>
      <c r="AD28" s="46">
        <f t="shared" si="98"/>
        <v>0.31674418659809533</v>
      </c>
      <c r="AE28" s="46">
        <f t="shared" si="98"/>
        <v>0.29111791102927076</v>
      </c>
      <c r="AF28" s="46">
        <f t="shared" si="98"/>
        <v>-2.3278047749128228E-2</v>
      </c>
      <c r="AG28" s="46">
        <f t="shared" si="98"/>
        <v>0.11804203376860345</v>
      </c>
      <c r="AH28" s="46">
        <f t="shared" si="98"/>
        <v>2.3643942808666552E-2</v>
      </c>
      <c r="AI28" s="46">
        <f t="shared" si="98"/>
        <v>0.10584231014567891</v>
      </c>
      <c r="AJ28" s="46">
        <f t="shared" si="98"/>
        <v>-0.13213897935508467</v>
      </c>
      <c r="AK28" s="46">
        <f t="shared" si="73"/>
        <v>0.16604373699158925</v>
      </c>
      <c r="AL28" s="46">
        <f t="shared" si="74"/>
        <v>7.1202979336428163E-2</v>
      </c>
      <c r="AM28" s="46">
        <f t="shared" si="75"/>
        <v>0.11559218426636741</v>
      </c>
      <c r="AN28" s="55"/>
      <c r="AO28" s="55"/>
      <c r="AP28" s="46"/>
      <c r="AQ28" s="46"/>
      <c r="AR28" s="46"/>
      <c r="AS28" s="46"/>
      <c r="AT28" s="46"/>
      <c r="AU28" s="46"/>
      <c r="AV28" s="46"/>
      <c r="AW28" s="46"/>
      <c r="AX28" s="46"/>
    </row>
    <row r="29" spans="2:55" ht="13.5" x14ac:dyDescent="0.35">
      <c r="B29" s="20" t="s">
        <v>222</v>
      </c>
      <c r="I29" s="47" t="str">
        <f>IFERROR(I15/H15-1,"n/a")</f>
        <v>n/a</v>
      </c>
      <c r="J29" s="47" t="str">
        <f t="shared" ref="J29:AJ29" si="99">IFERROR(J15/I15-1,"n/a")</f>
        <v>n/a</v>
      </c>
      <c r="K29" s="47" t="str">
        <f t="shared" si="99"/>
        <v>n/a</v>
      </c>
      <c r="L29" s="47" t="str">
        <f t="shared" si="99"/>
        <v>n/a</v>
      </c>
      <c r="M29" s="47" t="str">
        <f t="shared" si="99"/>
        <v>n/a</v>
      </c>
      <c r="N29" s="47" t="str">
        <f t="shared" si="99"/>
        <v>n/a</v>
      </c>
      <c r="O29" s="47" t="str">
        <f t="shared" si="99"/>
        <v>n/a</v>
      </c>
      <c r="P29" s="47" t="str">
        <f t="shared" si="99"/>
        <v>n/a</v>
      </c>
      <c r="Q29" s="47" t="str">
        <f t="shared" si="99"/>
        <v>n/a</v>
      </c>
      <c r="R29" s="47" t="str">
        <f t="shared" si="99"/>
        <v>n/a</v>
      </c>
      <c r="S29" s="47">
        <f t="shared" si="99"/>
        <v>12.63938119555422</v>
      </c>
      <c r="T29" s="47">
        <f t="shared" si="99"/>
        <v>-4.3620303595715448E-2</v>
      </c>
      <c r="U29" s="47">
        <f t="shared" si="99"/>
        <v>-0.61785513973277073</v>
      </c>
      <c r="V29" s="47">
        <f t="shared" si="99"/>
        <v>-0.95806528874256125</v>
      </c>
      <c r="W29" s="47">
        <f t="shared" si="99"/>
        <v>-5.3948730438959647E-3</v>
      </c>
      <c r="X29" s="47">
        <f t="shared" si="99"/>
        <v>-0.46301057890097286</v>
      </c>
      <c r="Y29" s="47">
        <f t="shared" si="99"/>
        <v>0.15625783797341364</v>
      </c>
      <c r="Z29" s="47">
        <f t="shared" si="99"/>
        <v>0.11234470518635375</v>
      </c>
      <c r="AA29" s="47">
        <f t="shared" si="99"/>
        <v>3.1733650078890951E-2</v>
      </c>
      <c r="AB29" s="47">
        <f t="shared" si="99"/>
        <v>-1</v>
      </c>
      <c r="AC29" s="47" t="str">
        <f t="shared" si="99"/>
        <v>n/a</v>
      </c>
      <c r="AD29" s="47" t="str">
        <f t="shared" si="99"/>
        <v>n/a</v>
      </c>
      <c r="AE29" s="47" t="str">
        <f t="shared" si="99"/>
        <v>n/a</v>
      </c>
      <c r="AF29" s="47" t="str">
        <f t="shared" si="99"/>
        <v>n/a</v>
      </c>
      <c r="AG29" s="47" t="str">
        <f t="shared" si="99"/>
        <v>n/a</v>
      </c>
      <c r="AH29" s="47" t="str">
        <f t="shared" si="99"/>
        <v>n/a</v>
      </c>
      <c r="AI29" s="47" t="str">
        <f t="shared" si="99"/>
        <v>n/a</v>
      </c>
      <c r="AJ29" s="47" t="str">
        <f t="shared" si="99"/>
        <v>n/a</v>
      </c>
      <c r="AK29" s="47" t="str">
        <f t="shared" si="73"/>
        <v>n/a</v>
      </c>
      <c r="AL29" s="47" t="str">
        <f t="shared" si="74"/>
        <v>n/a</v>
      </c>
      <c r="AM29" s="47" t="str">
        <f t="shared" si="75"/>
        <v>n/a</v>
      </c>
      <c r="AN29" s="55"/>
      <c r="AO29" s="55"/>
      <c r="AP29" s="46"/>
      <c r="AQ29" s="46"/>
      <c r="AR29" s="46"/>
      <c r="AS29" s="46"/>
      <c r="AT29" s="46"/>
      <c r="AU29" s="46"/>
      <c r="AV29" s="46"/>
      <c r="AW29" s="46"/>
      <c r="AX29" s="46"/>
    </row>
    <row r="30" spans="2:55" x14ac:dyDescent="0.2">
      <c r="B30" s="30" t="s">
        <v>224</v>
      </c>
      <c r="I30" s="46">
        <f>IFERROR(I16/H16-1,"n/a")</f>
        <v>0.95654930940543337</v>
      </c>
      <c r="J30" s="46">
        <f t="shared" ref="J30:AJ30" si="100">IFERROR(J16/I16-1,"n/a")</f>
        <v>0.24487291836314329</v>
      </c>
      <c r="K30" s="46">
        <f t="shared" si="100"/>
        <v>0.67651874708295345</v>
      </c>
      <c r="L30" s="46">
        <f t="shared" si="100"/>
        <v>-0.19609715167630537</v>
      </c>
      <c r="M30" s="46">
        <f t="shared" si="100"/>
        <v>0.60389016642597348</v>
      </c>
      <c r="N30" s="46">
        <f t="shared" si="100"/>
        <v>3.071875915636868E-2</v>
      </c>
      <c r="O30" s="46">
        <f t="shared" si="100"/>
        <v>0.43635888882914808</v>
      </c>
      <c r="P30" s="46">
        <f t="shared" si="100"/>
        <v>-0.39393819503988148</v>
      </c>
      <c r="Q30" s="46">
        <f t="shared" si="100"/>
        <v>0.86411940329539916</v>
      </c>
      <c r="R30" s="46">
        <f t="shared" si="100"/>
        <v>0.16537479758375784</v>
      </c>
      <c r="S30" s="46">
        <f t="shared" si="100"/>
        <v>0.86826997064416633</v>
      </c>
      <c r="T30" s="46">
        <f t="shared" si="100"/>
        <v>-0.16500896555706568</v>
      </c>
      <c r="U30" s="46">
        <f t="shared" si="100"/>
        <v>3.9658820488869706E-2</v>
      </c>
      <c r="V30" s="46">
        <f t="shared" si="100"/>
        <v>-6.6842284765137205E-2</v>
      </c>
      <c r="W30" s="46">
        <f t="shared" si="100"/>
        <v>0.26621261152478359</v>
      </c>
      <c r="X30" s="46">
        <f t="shared" si="100"/>
        <v>-0.12622343721620011</v>
      </c>
      <c r="Y30" s="46">
        <f t="shared" si="100"/>
        <v>0.32134062944169783</v>
      </c>
      <c r="Z30" s="46">
        <f t="shared" si="100"/>
        <v>0.12928727264954776</v>
      </c>
      <c r="AA30" s="46">
        <f t="shared" si="100"/>
        <v>0.12155495288683871</v>
      </c>
      <c r="AB30" s="46">
        <f t="shared" si="100"/>
        <v>-5.4821106604947323E-2</v>
      </c>
      <c r="AC30" s="46">
        <f t="shared" si="100"/>
        <v>0.38907666780472949</v>
      </c>
      <c r="AD30" s="46">
        <f t="shared" si="100"/>
        <v>0.31674418659809533</v>
      </c>
      <c r="AE30" s="46">
        <f t="shared" si="100"/>
        <v>0.29111791102927076</v>
      </c>
      <c r="AF30" s="46">
        <f t="shared" si="100"/>
        <v>-2.3278047749128228E-2</v>
      </c>
      <c r="AG30" s="46">
        <f t="shared" si="100"/>
        <v>0.11804203376860345</v>
      </c>
      <c r="AH30" s="46">
        <f t="shared" si="100"/>
        <v>2.3643942808666552E-2</v>
      </c>
      <c r="AI30" s="46">
        <f t="shared" si="100"/>
        <v>0.10584231014567891</v>
      </c>
      <c r="AJ30" s="46">
        <f t="shared" si="100"/>
        <v>-0.13213897935508467</v>
      </c>
      <c r="AK30" s="46">
        <f t="shared" si="73"/>
        <v>0.16604373699158925</v>
      </c>
      <c r="AL30" s="46">
        <f t="shared" si="74"/>
        <v>7.1202979336428163E-2</v>
      </c>
      <c r="AM30" s="46">
        <f t="shared" si="75"/>
        <v>0.11559218426636741</v>
      </c>
    </row>
    <row r="31" spans="2:55" x14ac:dyDescent="0.2">
      <c r="B31" s="30"/>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row>
    <row r="32" spans="2:55" x14ac:dyDescent="0.2">
      <c r="B32" s="19" t="s">
        <v>65</v>
      </c>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row>
    <row r="33" spans="1:50" x14ac:dyDescent="0.2">
      <c r="B33" s="20" t="s">
        <v>397</v>
      </c>
      <c r="H33" s="147">
        <f t="shared" ref="H33:AM33" si="101">+IFERROR(H247-H15/1000,"n/a")</f>
        <v>39.72</v>
      </c>
      <c r="I33" s="147">
        <f t="shared" si="101"/>
        <v>49.473600000000012</v>
      </c>
      <c r="J33" s="147">
        <f t="shared" si="101"/>
        <v>70.976399999999984</v>
      </c>
      <c r="K33" s="147">
        <f t="shared" si="101"/>
        <v>122.79000000000002</v>
      </c>
      <c r="L33" s="147">
        <f t="shared" si="101"/>
        <v>91.192800000000005</v>
      </c>
      <c r="M33" s="147">
        <f t="shared" si="101"/>
        <v>140.5008</v>
      </c>
      <c r="N33" s="147">
        <f t="shared" si="101"/>
        <v>149.63639999999998</v>
      </c>
      <c r="O33" s="147">
        <f t="shared" si="101"/>
        <v>222.63</v>
      </c>
      <c r="P33" s="147">
        <f t="shared" si="101"/>
        <v>142.64862857142853</v>
      </c>
      <c r="Q33" s="147">
        <f t="shared" si="101"/>
        <v>246.30497142857143</v>
      </c>
      <c r="R33" s="147">
        <f t="shared" si="101"/>
        <v>262.58357799999993</v>
      </c>
      <c r="S33" s="147">
        <f t="shared" si="101"/>
        <v>347.344651</v>
      </c>
      <c r="T33" s="147">
        <f t="shared" si="101"/>
        <v>305.61949541155332</v>
      </c>
      <c r="U33" s="147">
        <f t="shared" si="101"/>
        <v>355.31577401438761</v>
      </c>
      <c r="V33" s="147">
        <f t="shared" si="101"/>
        <v>378.32293478256418</v>
      </c>
      <c r="W33" s="147">
        <f t="shared" si="101"/>
        <v>445.8187963550119</v>
      </c>
      <c r="X33" s="147">
        <f t="shared" si="101"/>
        <v>383.42385372949485</v>
      </c>
      <c r="Y33" s="147">
        <f t="shared" si="101"/>
        <v>424.37113786719806</v>
      </c>
      <c r="Z33" s="147">
        <f t="shared" si="101"/>
        <v>476.55047151090793</v>
      </c>
      <c r="AA33" s="147">
        <f t="shared" si="101"/>
        <v>531.94180300000005</v>
      </c>
      <c r="AB33" s="147">
        <f t="shared" si="101"/>
        <v>479.83615509046422</v>
      </c>
      <c r="AC33" s="147">
        <f t="shared" si="101"/>
        <v>548.44083541875887</v>
      </c>
      <c r="AD33" s="147">
        <f t="shared" si="101"/>
        <v>576.22322711698712</v>
      </c>
      <c r="AE33" s="147">
        <f t="shared" si="101"/>
        <v>661.29192299001215</v>
      </c>
      <c r="AF33" s="147">
        <f t="shared" si="101"/>
        <v>583.02915563096553</v>
      </c>
      <c r="AG33" s="147">
        <f t="shared" si="101"/>
        <v>644.87169229744484</v>
      </c>
      <c r="AH33" s="147">
        <f t="shared" si="101"/>
        <v>682.04814640617758</v>
      </c>
      <c r="AI33" s="147">
        <f t="shared" si="101"/>
        <v>773.45324538614875</v>
      </c>
      <c r="AJ33" s="147">
        <f t="shared" si="101"/>
        <v>663.3220691640621</v>
      </c>
      <c r="AK33" s="147">
        <f t="shared" si="101"/>
        <v>733.69569010718919</v>
      </c>
      <c r="AL33" s="147">
        <f t="shared" si="101"/>
        <v>782.12006624679532</v>
      </c>
      <c r="AM33" s="147">
        <f t="shared" si="101"/>
        <v>887.25160573276366</v>
      </c>
      <c r="AO33" s="147" t="str">
        <f t="shared" ref="AO33:AW33" si="102">+IFERROR(AO247-AO15/1000,"n/a")</f>
        <v>n/a</v>
      </c>
      <c r="AP33" s="147">
        <f t="shared" si="102"/>
        <v>84.746015</v>
      </c>
      <c r="AQ33" s="147">
        <f t="shared" si="102"/>
        <v>282.96000000000004</v>
      </c>
      <c r="AR33" s="147">
        <f t="shared" si="102"/>
        <v>603.96</v>
      </c>
      <c r="AS33" s="147">
        <f t="shared" si="102"/>
        <v>998.88182899999981</v>
      </c>
      <c r="AT33" s="147">
        <f t="shared" si="102"/>
        <v>1485.077000563517</v>
      </c>
      <c r="AU33" s="147">
        <f t="shared" si="102"/>
        <v>1816.2872661076008</v>
      </c>
      <c r="AV33" s="147">
        <f t="shared" si="102"/>
        <v>2265.7921406162222</v>
      </c>
      <c r="AW33" s="147">
        <f t="shared" si="102"/>
        <v>2683.4022397207368</v>
      </c>
      <c r="AX33" s="53">
        <f>+SUM(AJ33:AM33)</f>
        <v>3066.38943125081</v>
      </c>
    </row>
    <row r="34" spans="1:50" x14ac:dyDescent="0.2">
      <c r="B34" s="30" t="s">
        <v>85</v>
      </c>
      <c r="I34" s="46"/>
      <c r="J34" s="46"/>
      <c r="K34" s="46"/>
      <c r="L34" s="46">
        <f>+IFERROR(L33/H33-1,"n/a")</f>
        <v>1.2958912386706949</v>
      </c>
      <c r="M34" s="46">
        <f t="shared" ref="M34:AJ34" si="103">+IFERROR(M33/I33-1,"n/a")</f>
        <v>1.8399146211312694</v>
      </c>
      <c r="N34" s="46">
        <f t="shared" si="103"/>
        <v>1.1082557018952781</v>
      </c>
      <c r="O34" s="46">
        <f t="shared" si="103"/>
        <v>0.81309552895186865</v>
      </c>
      <c r="P34" s="46">
        <f t="shared" si="103"/>
        <v>0.56425319292124509</v>
      </c>
      <c r="Q34" s="46">
        <f t="shared" si="103"/>
        <v>0.75305031308413506</v>
      </c>
      <c r="R34" s="46">
        <f t="shared" si="103"/>
        <v>0.75481084816261257</v>
      </c>
      <c r="S34" s="46">
        <f t="shared" si="103"/>
        <v>0.56018798454835372</v>
      </c>
      <c r="T34" s="46">
        <f t="shared" si="103"/>
        <v>1.1424636077627643</v>
      </c>
      <c r="U34" s="46">
        <f t="shared" si="103"/>
        <v>0.44258466223216031</v>
      </c>
      <c r="V34" s="46">
        <f t="shared" si="103"/>
        <v>0.4407714970757397</v>
      </c>
      <c r="W34" s="46">
        <f t="shared" si="103"/>
        <v>0.2835055760078824</v>
      </c>
      <c r="X34" s="46">
        <f t="shared" si="103"/>
        <v>0.25457917274933206</v>
      </c>
      <c r="Y34" s="46">
        <f t="shared" si="103"/>
        <v>0.19434927718692907</v>
      </c>
      <c r="Z34" s="46">
        <f t="shared" si="103"/>
        <v>0.25963939189887775</v>
      </c>
      <c r="AA34" s="46">
        <f t="shared" si="103"/>
        <v>0.19317939788345573</v>
      </c>
      <c r="AB34" s="46">
        <f t="shared" si="103"/>
        <v>0.25145097370229896</v>
      </c>
      <c r="AC34" s="46">
        <f t="shared" si="103"/>
        <v>0.29236130000524918</v>
      </c>
      <c r="AD34" s="46">
        <f t="shared" si="103"/>
        <v>0.20915466789921688</v>
      </c>
      <c r="AE34" s="46">
        <f t="shared" si="103"/>
        <v>0.24316592390467218</v>
      </c>
      <c r="AF34" s="46">
        <f t="shared" si="103"/>
        <v>0.21505882673856913</v>
      </c>
      <c r="AG34" s="46">
        <f t="shared" si="103"/>
        <v>0.17582727370228857</v>
      </c>
      <c r="AH34" s="46">
        <f t="shared" si="103"/>
        <v>0.18365264416476812</v>
      </c>
      <c r="AI34" s="46">
        <f t="shared" si="103"/>
        <v>0.1696093941220429</v>
      </c>
      <c r="AJ34" s="46">
        <f t="shared" si="103"/>
        <v>0.1377168067113248</v>
      </c>
      <c r="AK34" s="46">
        <f t="shared" ref="AK34" si="104">+IFERROR(AK33/AG33-1,"n/a")</f>
        <v>0.13773902447678621</v>
      </c>
      <c r="AL34" s="46">
        <f t="shared" ref="AL34" si="105">+IFERROR(AL33/AH33-1,"n/a")</f>
        <v>0.14672266227525577</v>
      </c>
      <c r="AM34" s="46">
        <f t="shared" ref="AM34" si="106">+IFERROR(AM33/AI33-1,"n/a")</f>
        <v>0.14713023835047823</v>
      </c>
      <c r="AP34" s="46" t="str">
        <f>+IFERROR(AP33/AO33-1,"n/a")</f>
        <v>n/a</v>
      </c>
      <c r="AQ34" s="46">
        <f t="shared" ref="AQ34:AX34" si="107">+IFERROR(AQ33/AP33-1,"n/a")</f>
        <v>2.3389180600409358</v>
      </c>
      <c r="AR34" s="46">
        <f t="shared" si="107"/>
        <v>1.1344359626802372</v>
      </c>
      <c r="AS34" s="46">
        <f t="shared" si="107"/>
        <v>0.6538873915491088</v>
      </c>
      <c r="AT34" s="46">
        <f t="shared" si="107"/>
        <v>0.48673942947811621</v>
      </c>
      <c r="AU34" s="46">
        <f t="shared" si="107"/>
        <v>0.22302565147693021</v>
      </c>
      <c r="AV34" s="46">
        <f t="shared" si="107"/>
        <v>0.2474855618362255</v>
      </c>
      <c r="AW34" s="46">
        <f t="shared" si="107"/>
        <v>0.1843108604794339</v>
      </c>
      <c r="AX34" s="46">
        <f t="shared" si="107"/>
        <v>0.14272448083293354</v>
      </c>
    </row>
    <row r="35" spans="1:50" x14ac:dyDescent="0.2">
      <c r="B35" s="30" t="s">
        <v>261</v>
      </c>
      <c r="I35" s="46">
        <f>+IFERROR(I33/H33-1,"n/a")</f>
        <v>0.24555891238670724</v>
      </c>
      <c r="J35" s="46">
        <f t="shared" ref="J35:L35" si="108">+IFERROR(J33/I33-1,"n/a")</f>
        <v>0.43463180362860121</v>
      </c>
      <c r="K35" s="46">
        <f t="shared" si="108"/>
        <v>0.7300116658494944</v>
      </c>
      <c r="L35" s="46">
        <f t="shared" si="108"/>
        <v>-0.25732714390422684</v>
      </c>
      <c r="M35" s="46">
        <f t="shared" ref="M35:AJ35" si="109">+IFERROR(M33/L33-1,"n/a")</f>
        <v>0.54070058162486512</v>
      </c>
      <c r="N35" s="46">
        <f t="shared" si="109"/>
        <v>6.5021693826654348E-2</v>
      </c>
      <c r="O35" s="46">
        <f t="shared" si="109"/>
        <v>0.48780644281738961</v>
      </c>
      <c r="P35" s="46">
        <f t="shared" si="109"/>
        <v>-0.35925693495293298</v>
      </c>
      <c r="Q35" s="46">
        <f t="shared" si="109"/>
        <v>0.72665502567547646</v>
      </c>
      <c r="R35" s="46">
        <f t="shared" si="109"/>
        <v>6.6091262701732711E-2</v>
      </c>
      <c r="S35" s="46">
        <f t="shared" si="109"/>
        <v>0.32279654975224714</v>
      </c>
      <c r="T35" s="46">
        <f t="shared" si="109"/>
        <v>-0.12012609224964477</v>
      </c>
      <c r="U35" s="46">
        <f t="shared" si="109"/>
        <v>0.16260833928775487</v>
      </c>
      <c r="V35" s="46">
        <f t="shared" si="109"/>
        <v>6.4751307008522829E-2</v>
      </c>
      <c r="W35" s="46">
        <f t="shared" si="109"/>
        <v>0.17840806191472369</v>
      </c>
      <c r="X35" s="46">
        <f t="shared" si="109"/>
        <v>-0.13995583662163735</v>
      </c>
      <c r="Y35" s="46">
        <f t="shared" si="109"/>
        <v>0.10679378379674698</v>
      </c>
      <c r="Z35" s="46">
        <f t="shared" si="109"/>
        <v>0.12295683892630516</v>
      </c>
      <c r="AA35" s="46">
        <f t="shared" si="109"/>
        <v>0.11623392442247171</v>
      </c>
      <c r="AB35" s="46">
        <f t="shared" si="109"/>
        <v>-9.7953662629398308E-2</v>
      </c>
      <c r="AC35" s="46">
        <f t="shared" si="109"/>
        <v>0.1429752210217683</v>
      </c>
      <c r="AD35" s="46">
        <f t="shared" si="109"/>
        <v>5.0657044304542209E-2</v>
      </c>
      <c r="AE35" s="46">
        <f t="shared" si="109"/>
        <v>0.14763149395877107</v>
      </c>
      <c r="AF35" s="46">
        <f t="shared" si="109"/>
        <v>-0.11834828861236324</v>
      </c>
      <c r="AG35" s="46">
        <f t="shared" si="109"/>
        <v>0.10607108764492601</v>
      </c>
      <c r="AH35" s="46">
        <f t="shared" si="109"/>
        <v>5.7649381346367434E-2</v>
      </c>
      <c r="AI35" s="46">
        <f t="shared" si="109"/>
        <v>0.13401561086500924</v>
      </c>
      <c r="AJ35" s="46">
        <f t="shared" si="109"/>
        <v>-0.14238892509540557</v>
      </c>
      <c r="AK35" s="46">
        <f t="shared" ref="AK35" si="110">+IFERROR(AK33/AJ33-1,"n/a")</f>
        <v>0.10609268742077882</v>
      </c>
      <c r="AL35" s="46">
        <f t="shared" ref="AL35" si="111">+IFERROR(AL33/AK33-1,"n/a")</f>
        <v>6.6000627770529174E-2</v>
      </c>
      <c r="AM35" s="46">
        <f t="shared" ref="AM35" si="112">+IFERROR(AM33/AL33-1,"n/a")</f>
        <v>0.13441867051240508</v>
      </c>
    </row>
    <row r="36" spans="1:50" x14ac:dyDescent="0.2">
      <c r="B36" s="20" t="s">
        <v>398</v>
      </c>
      <c r="H36" s="44">
        <f>+IFERROR(H12/(H33*1000),"n/a")</f>
        <v>2.7897784491440078E-2</v>
      </c>
      <c r="I36" s="44">
        <f t="shared" ref="I36:AW36" si="113">+IFERROR(I12/(I33*1000),"n/a")</f>
        <v>4.7923579444390532E-2</v>
      </c>
      <c r="J36" s="44">
        <f t="shared" si="113"/>
        <v>4.1903294616238651E-2</v>
      </c>
      <c r="K36" s="44">
        <f t="shared" si="113"/>
        <v>4.1227933870836377E-2</v>
      </c>
      <c r="L36" s="44">
        <f t="shared" si="113"/>
        <v>4.329743137616128E-2</v>
      </c>
      <c r="M36" s="44">
        <f t="shared" si="113"/>
        <v>4.6028727238563771E-2</v>
      </c>
      <c r="N36" s="44">
        <f t="shared" si="113"/>
        <v>4.4851753984992956E-2</v>
      </c>
      <c r="O36" s="44">
        <f t="shared" si="113"/>
        <v>4.3510304091991199E-2</v>
      </c>
      <c r="P36" s="44">
        <f t="shared" si="113"/>
        <v>3.8502087647129764E-2</v>
      </c>
      <c r="Q36" s="44">
        <f t="shared" si="113"/>
        <v>4.4882155385994181E-2</v>
      </c>
      <c r="R36" s="44">
        <f t="shared" si="113"/>
        <v>4.754614167074836E-2</v>
      </c>
      <c r="S36" s="44">
        <f t="shared" si="113"/>
        <v>5.4476080013104902E-2</v>
      </c>
      <c r="T36" s="44">
        <f t="shared" si="113"/>
        <v>4.6173382954504238E-2</v>
      </c>
      <c r="U36" s="44">
        <f t="shared" si="113"/>
        <v>5.0885494881710146E-2</v>
      </c>
      <c r="V36" s="44">
        <f t="shared" si="113"/>
        <v>4.7436976059393537E-2</v>
      </c>
      <c r="W36" s="44">
        <f t="shared" si="113"/>
        <v>5.0300707783847355E-2</v>
      </c>
      <c r="X36" s="44">
        <f t="shared" si="113"/>
        <v>4.7358621075283311E-2</v>
      </c>
      <c r="Y36" s="44">
        <f t="shared" si="113"/>
        <v>5.9317537772508665E-2</v>
      </c>
      <c r="Z36" s="44">
        <f t="shared" si="113"/>
        <v>5.9648760623142845E-2</v>
      </c>
      <c r="AA36" s="44">
        <f t="shared" si="113"/>
        <v>5.8211636734253787E-2</v>
      </c>
      <c r="AB36" s="44">
        <f t="shared" si="113"/>
        <v>5.6778601843505451E-2</v>
      </c>
      <c r="AC36" s="44">
        <f t="shared" si="113"/>
        <v>6.9164855259248884E-2</v>
      </c>
      <c r="AD36" s="44">
        <f t="shared" si="113"/>
        <v>6.8875526241052504E-2</v>
      </c>
      <c r="AE36" s="44">
        <f t="shared" si="113"/>
        <v>7.3606853959314392E-2</v>
      </c>
      <c r="AF36" s="44">
        <f t="shared" ref="AF36:AG36" si="114">+IFERROR(AF12/(AF33*1000),"n/a")</f>
        <v>7.282010271690964E-2</v>
      </c>
      <c r="AG36" s="44">
        <f t="shared" si="114"/>
        <v>7.6163780464634637E-2</v>
      </c>
      <c r="AH36" s="44">
        <f t="shared" ref="AH36" si="115">+IFERROR(AH12/(AH33*1000),"n/a")</f>
        <v>7.2357094231600139E-2</v>
      </c>
      <c r="AI36" s="44">
        <f t="shared" si="113"/>
        <v>7.2988287298203891E-2</v>
      </c>
      <c r="AJ36" s="44">
        <f t="shared" ref="AJ36:AM36" si="116">+IFERROR(AJ12/(AJ33*1000),"n/a")</f>
        <v>7.0620690954433921E-2</v>
      </c>
      <c r="AK36" s="44">
        <f t="shared" si="116"/>
        <v>7.3063382442874358E-2</v>
      </c>
      <c r="AL36" s="44">
        <f t="shared" si="116"/>
        <v>7.3155286794087462E-2</v>
      </c>
      <c r="AM36" s="44">
        <f t="shared" si="116"/>
        <v>7.3767223883242347E-2</v>
      </c>
      <c r="AO36" s="44" t="str">
        <f t="shared" si="113"/>
        <v>n/a</v>
      </c>
      <c r="AP36" s="44">
        <f t="shared" si="113"/>
        <v>1.4269402519988698E-2</v>
      </c>
      <c r="AQ36" s="44">
        <f t="shared" si="113"/>
        <v>4.0696829940627642E-2</v>
      </c>
      <c r="AR36" s="44">
        <f t="shared" si="113"/>
        <v>4.4396385522220014E-2</v>
      </c>
      <c r="AS36" s="44">
        <f t="shared" si="113"/>
        <v>4.8007459549051432E-2</v>
      </c>
      <c r="AT36" s="44">
        <f t="shared" si="113"/>
        <v>4.8861710182344482E-2</v>
      </c>
      <c r="AU36" s="44">
        <f t="shared" si="113"/>
        <v>5.6555989747226761E-2</v>
      </c>
      <c r="AV36" s="44">
        <f t="shared" si="113"/>
        <v>6.7764624233466506E-2</v>
      </c>
      <c r="AW36" s="44">
        <f t="shared" si="113"/>
        <v>7.3554443595647251E-2</v>
      </c>
      <c r="AX36" s="44">
        <f t="shared" ref="AX36" si="117">+IFERROR(AX12/(AX33*1000),"n/a")</f>
        <v>7.2762074827599305E-2</v>
      </c>
    </row>
    <row r="37" spans="1:50" x14ac:dyDescent="0.2">
      <c r="B37" s="30" t="s">
        <v>85</v>
      </c>
      <c r="I37" s="46"/>
      <c r="J37" s="46"/>
      <c r="K37" s="46"/>
      <c r="L37" s="46">
        <f>+IFERROR(L36/H36-1,"n/a")</f>
        <v>0.55200250361982328</v>
      </c>
      <c r="M37" s="46">
        <f t="shared" ref="M37" si="118">+IFERROR(M36/I36-1,"n/a")</f>
        <v>-3.9539037521717391E-2</v>
      </c>
      <c r="N37" s="46">
        <f t="shared" ref="N37" si="119">+IFERROR(N36/J36-1,"n/a")</f>
        <v>7.0363425972994831E-2</v>
      </c>
      <c r="O37" s="46">
        <f t="shared" ref="O37" si="120">+IFERROR(O36/K36-1,"n/a")</f>
        <v>5.5359801155820509E-2</v>
      </c>
      <c r="P37" s="46">
        <f t="shared" ref="P37" si="121">+IFERROR(P36/L36-1,"n/a")</f>
        <v>-0.11075353841132796</v>
      </c>
      <c r="Q37" s="46">
        <f t="shared" ref="Q37" si="122">+IFERROR(Q36/M36-1,"n/a")</f>
        <v>-2.49099186824564E-2</v>
      </c>
      <c r="R37" s="46">
        <f t="shared" ref="R37" si="123">+IFERROR(R36/N36-1,"n/a")</f>
        <v>6.0073184354326958E-2</v>
      </c>
      <c r="S37" s="46">
        <f t="shared" ref="S37" si="124">+IFERROR(S36/O36-1,"n/a")</f>
        <v>0.25202710369317183</v>
      </c>
      <c r="T37" s="46">
        <f t="shared" ref="T37" si="125">+IFERROR(T36/P36-1,"n/a")</f>
        <v>0.19924361966243542</v>
      </c>
      <c r="U37" s="46">
        <f t="shared" ref="U37" si="126">+IFERROR(U36/Q36-1,"n/a")</f>
        <v>0.1337578252222118</v>
      </c>
      <c r="V37" s="46">
        <f t="shared" ref="V37" si="127">+IFERROR(V36/R36-1,"n/a")</f>
        <v>-2.2959930610306767E-3</v>
      </c>
      <c r="W37" s="46">
        <f t="shared" ref="W37" si="128">+IFERROR(W36/S36-1,"n/a")</f>
        <v>-7.6645974311167597E-2</v>
      </c>
      <c r="X37" s="46">
        <f t="shared" ref="X37" si="129">+IFERROR(X36/T36-1,"n/a")</f>
        <v>2.566929353967673E-2</v>
      </c>
      <c r="Y37" s="46">
        <f t="shared" ref="Y37" si="130">+IFERROR(Y36/U36-1,"n/a")</f>
        <v>0.16570621766379356</v>
      </c>
      <c r="Z37" s="46">
        <f t="shared" ref="Z37" si="131">+IFERROR(Z36/V36-1,"n/a")</f>
        <v>0.25743176690815028</v>
      </c>
      <c r="AA37" s="46">
        <f t="shared" ref="AA37" si="132">+IFERROR(AA36/W36-1,"n/a")</f>
        <v>0.15727271640791507</v>
      </c>
      <c r="AB37" s="46">
        <f t="shared" ref="AB37" si="133">+IFERROR(AB36/X36-1,"n/a")</f>
        <v>0.19890741230087183</v>
      </c>
      <c r="AC37" s="46">
        <f t="shared" ref="AC37" si="134">+IFERROR(AC36/Y36-1,"n/a")</f>
        <v>0.16601021985278797</v>
      </c>
      <c r="AD37" s="46">
        <f t="shared" ref="AD37" si="135">+IFERROR(AD36/Z36-1,"n/a")</f>
        <v>0.15468495106216529</v>
      </c>
      <c r="AE37" s="46">
        <f t="shared" ref="AE37:AH37" si="136">+IFERROR(AE36/AA36-1,"n/a")</f>
        <v>0.26446975362232883</v>
      </c>
      <c r="AF37" s="46">
        <f t="shared" si="136"/>
        <v>0.28252722597182234</v>
      </c>
      <c r="AG37" s="46">
        <f t="shared" si="136"/>
        <v>0.10119193019564432</v>
      </c>
      <c r="AH37" s="46">
        <f t="shared" si="136"/>
        <v>5.0548695313960224E-2</v>
      </c>
      <c r="AI37" s="46">
        <f t="shared" ref="AI37:AJ37" si="137">+IFERROR(AI36/AE36-1,"n/a")</f>
        <v>-8.4036557445099636E-3</v>
      </c>
      <c r="AJ37" s="46">
        <f t="shared" si="137"/>
        <v>-3.0203359792363882E-2</v>
      </c>
      <c r="AK37" s="46">
        <f t="shared" ref="AK37" si="138">+IFERROR(AK36/AG36-1,"n/a")</f>
        <v>-4.0706987006768891E-2</v>
      </c>
      <c r="AL37" s="46">
        <f t="shared" ref="AL37" si="139">+IFERROR(AL36/AH36-1,"n/a")</f>
        <v>1.1031296529576906E-2</v>
      </c>
      <c r="AM37" s="46">
        <f t="shared" ref="AM37" si="140">+IFERROR(AM36/AI36-1,"n/a")</f>
        <v>1.0672076491615723E-2</v>
      </c>
      <c r="AP37" s="46" t="str">
        <f>+IFERROR(AP36/AO36-1,"n/a")</f>
        <v>n/a</v>
      </c>
      <c r="AQ37" s="46">
        <f t="shared" ref="AQ37" si="141">+IFERROR(AQ36/AP36-1,"n/a")</f>
        <v>1.8520346162790755</v>
      </c>
      <c r="AR37" s="46">
        <f t="shared" ref="AR37" si="142">+IFERROR(AR36/AQ36-1,"n/a")</f>
        <v>9.0905252005859749E-2</v>
      </c>
      <c r="AS37" s="46">
        <f t="shared" ref="AS37" si="143">+IFERROR(AS36/AR36-1,"n/a")</f>
        <v>8.1337117523319735E-2</v>
      </c>
      <c r="AT37" s="46">
        <f t="shared" ref="AT37" si="144">+IFERROR(AT36/AS36-1,"n/a")</f>
        <v>1.7794122857516026E-2</v>
      </c>
      <c r="AU37" s="46">
        <f t="shared" ref="AU37" si="145">+IFERROR(AU36/AT36-1,"n/a")</f>
        <v>0.15747053339247419</v>
      </c>
      <c r="AV37" s="46">
        <f t="shared" ref="AV37" si="146">+IFERROR(AV36/AU36-1,"n/a")</f>
        <v>0.19818651457318648</v>
      </c>
      <c r="AW37" s="46">
        <f t="shared" ref="AW37:AX37" si="147">+IFERROR(AW36/AV36-1,"n/a")</f>
        <v>8.5440145616883179E-2</v>
      </c>
      <c r="AX37" s="46">
        <f t="shared" si="147"/>
        <v>-1.0772547915716135E-2</v>
      </c>
    </row>
    <row r="38" spans="1:50" x14ac:dyDescent="0.2">
      <c r="B38" s="30" t="s">
        <v>261</v>
      </c>
      <c r="I38" s="46">
        <f>+IFERROR(I36/H36-1,"n/a")</f>
        <v>0.71782743031422447</v>
      </c>
      <c r="J38" s="46">
        <f t="shared" ref="J38:AJ38" si="148">+IFERROR(J36/I36-1,"n/a")</f>
        <v>-0.1256226036942355</v>
      </c>
      <c r="K38" s="46">
        <f t="shared" si="148"/>
        <v>-1.611712758119388E-2</v>
      </c>
      <c r="L38" s="46">
        <f t="shared" si="148"/>
        <v>5.0196488424776753E-2</v>
      </c>
      <c r="M38" s="46">
        <f t="shared" si="148"/>
        <v>6.3082168516497505E-2</v>
      </c>
      <c r="N38" s="46">
        <f t="shared" si="148"/>
        <v>-2.557040622632567E-2</v>
      </c>
      <c r="O38" s="46">
        <f t="shared" si="148"/>
        <v>-2.9908526954165349E-2</v>
      </c>
      <c r="P38" s="46">
        <f t="shared" si="148"/>
        <v>-0.1151041471526576</v>
      </c>
      <c r="Q38" s="46">
        <f t="shared" si="148"/>
        <v>0.16570705976614852</v>
      </c>
      <c r="R38" s="46">
        <f t="shared" si="148"/>
        <v>5.935513260990799E-2</v>
      </c>
      <c r="S38" s="46">
        <f t="shared" si="148"/>
        <v>0.14575185491065867</v>
      </c>
      <c r="T38" s="46">
        <f t="shared" si="148"/>
        <v>-0.15240995784945144</v>
      </c>
      <c r="U38" s="46">
        <f t="shared" si="148"/>
        <v>0.10205255984489736</v>
      </c>
      <c r="V38" s="46">
        <f t="shared" si="148"/>
        <v>-6.7770173609063455E-2</v>
      </c>
      <c r="W38" s="46">
        <f t="shared" si="148"/>
        <v>6.0369187969913529E-2</v>
      </c>
      <c r="X38" s="46">
        <f t="shared" si="148"/>
        <v>-5.8489966407765159E-2</v>
      </c>
      <c r="Y38" s="46">
        <f t="shared" si="148"/>
        <v>0.25251826226559548</v>
      </c>
      <c r="Z38" s="46">
        <f t="shared" si="148"/>
        <v>5.5838941242718487E-3</v>
      </c>
      <c r="AA38" s="46">
        <f t="shared" si="148"/>
        <v>-2.4093105604804044E-2</v>
      </c>
      <c r="AB38" s="46">
        <f t="shared" si="148"/>
        <v>-2.4617670471805964E-2</v>
      </c>
      <c r="AC38" s="46">
        <f t="shared" si="148"/>
        <v>0.21815002507252146</v>
      </c>
      <c r="AD38" s="46">
        <f t="shared" si="148"/>
        <v>-4.1831796959871381E-3</v>
      </c>
      <c r="AE38" s="46">
        <f t="shared" si="148"/>
        <v>6.8693888475030329E-2</v>
      </c>
      <c r="AF38" s="46">
        <f t="shared" si="148"/>
        <v>-1.0688559557777366E-2</v>
      </c>
      <c r="AG38" s="46">
        <f t="shared" si="148"/>
        <v>4.5916960055984113E-2</v>
      </c>
      <c r="AH38" s="46">
        <f t="shared" si="148"/>
        <v>-4.9980268965273744E-2</v>
      </c>
      <c r="AI38" s="46">
        <f t="shared" si="148"/>
        <v>8.7233058942837172E-3</v>
      </c>
      <c r="AJ38" s="46">
        <f t="shared" si="148"/>
        <v>-3.2438031243243515E-2</v>
      </c>
      <c r="AK38" s="46">
        <f t="shared" ref="AK38" si="149">+IFERROR(AK36/AJ36-1,"n/a")</f>
        <v>3.458889251050401E-2</v>
      </c>
      <c r="AL38" s="46">
        <f t="shared" ref="AL38" si="150">+IFERROR(AL36/AK36-1,"n/a")</f>
        <v>1.2578715649382843E-3</v>
      </c>
      <c r="AM38" s="46">
        <f t="shared" ref="AM38" si="151">+IFERROR(AM36/AL36-1,"n/a")</f>
        <v>8.3649058868064952E-3</v>
      </c>
    </row>
    <row r="39" spans="1:50" x14ac:dyDescent="0.2">
      <c r="B39" s="30"/>
      <c r="AE39" s="10"/>
    </row>
    <row r="40" spans="1:50" ht="10.15" x14ac:dyDescent="0.2">
      <c r="A40" t="s">
        <v>247</v>
      </c>
      <c r="B40" t="s">
        <v>86</v>
      </c>
      <c r="H40" s="10">
        <f>+H566+H603</f>
        <v>1066.2039999999997</v>
      </c>
      <c r="I40" s="10">
        <f t="shared" ref="I40:AD40" si="152">+I566+I603</f>
        <v>2321.7270000000003</v>
      </c>
      <c r="J40" s="10">
        <f t="shared" si="152"/>
        <v>2598.2930000000006</v>
      </c>
      <c r="K40" s="10">
        <f t="shared" si="152"/>
        <v>4232.0050000000001</v>
      </c>
      <c r="L40" s="10">
        <f t="shared" si="152"/>
        <v>3676.1709999999998</v>
      </c>
      <c r="M40" s="10">
        <f t="shared" si="152"/>
        <v>5699.03</v>
      </c>
      <c r="N40" s="10">
        <f t="shared" si="152"/>
        <v>5689.1970000000001</v>
      </c>
      <c r="O40" s="10">
        <f t="shared" si="152"/>
        <v>8762.5450000000001</v>
      </c>
      <c r="P40" s="10">
        <f t="shared" si="152"/>
        <v>4719.259</v>
      </c>
      <c r="Q40" s="10">
        <f t="shared" si="152"/>
        <v>9540.6970000000001</v>
      </c>
      <c r="R40" s="10">
        <f t="shared" si="152"/>
        <v>10954.050999999999</v>
      </c>
      <c r="S40" s="10">
        <f t="shared" si="152"/>
        <v>15031.508000000003</v>
      </c>
      <c r="T40" s="10">
        <f t="shared" si="152"/>
        <v>11425.412999999999</v>
      </c>
      <c r="U40" s="10">
        <f t="shared" si="152"/>
        <v>15155.776</v>
      </c>
      <c r="V40" s="10">
        <f t="shared" si="152"/>
        <v>14956.199000000001</v>
      </c>
      <c r="W40" s="10">
        <f t="shared" si="152"/>
        <v>20721.082000000009</v>
      </c>
      <c r="X40" s="10">
        <f t="shared" si="152"/>
        <v>16643.274999999998</v>
      </c>
      <c r="Y40" s="10">
        <f t="shared" si="152"/>
        <v>23484.690999999999</v>
      </c>
      <c r="Z40" s="10">
        <f t="shared" si="152"/>
        <v>28096.012999999999</v>
      </c>
      <c r="AA40" s="10">
        <f t="shared" si="152"/>
        <v>30905.099999999991</v>
      </c>
      <c r="AB40" s="10">
        <f t="shared" si="152"/>
        <v>26549.133000000002</v>
      </c>
      <c r="AC40" s="10">
        <f t="shared" si="152"/>
        <v>33619.236999999994</v>
      </c>
      <c r="AD40" s="10">
        <f t="shared" si="152"/>
        <v>42030.559999999998</v>
      </c>
      <c r="AE40" s="10">
        <f t="shared" ref="AE40:AF40" si="153">+AE566+AE603</f>
        <v>53849.167999999998</v>
      </c>
      <c r="AF40" s="10">
        <f t="shared" si="153"/>
        <v>54134.88700000001</v>
      </c>
      <c r="AG40" s="10">
        <f t="shared" ref="AG40:AH40" si="154">+AG566+AG603</f>
        <v>63399.139000000003</v>
      </c>
      <c r="AH40" s="10">
        <f t="shared" si="154"/>
        <v>59689.911999999997</v>
      </c>
      <c r="AI40" s="14">
        <f>+AI412</f>
        <v>68024.765715655827</v>
      </c>
      <c r="AJ40" s="14">
        <f>+AJ412</f>
        <v>57394.765467947102</v>
      </c>
      <c r="AK40" s="14">
        <f t="shared" ref="AK40:AM40" si="155">+AK412</f>
        <v>65671.043073317429</v>
      </c>
      <c r="AL40" s="14">
        <f t="shared" si="155"/>
        <v>70392.99399300183</v>
      </c>
      <c r="AM40" s="14">
        <f t="shared" si="155"/>
        <v>80070.682517917594</v>
      </c>
      <c r="AO40" s="10">
        <f t="shared" ref="AO40:AU40" si="156">+AO566+AO603</f>
        <v>-72.728999999999999</v>
      </c>
      <c r="AP40" s="10">
        <f t="shared" si="156"/>
        <v>1022.0420000000003</v>
      </c>
      <c r="AQ40" s="10">
        <f t="shared" si="156"/>
        <v>10218.229000000001</v>
      </c>
      <c r="AR40" s="10">
        <f t="shared" si="156"/>
        <v>23826.942999999999</v>
      </c>
      <c r="AS40" s="10">
        <f t="shared" si="156"/>
        <v>40245.514999999999</v>
      </c>
      <c r="AT40" s="10">
        <f t="shared" si="156"/>
        <v>62258.47</v>
      </c>
      <c r="AU40" s="10">
        <f t="shared" si="156"/>
        <v>99129.079000000012</v>
      </c>
      <c r="AV40" s="10">
        <f t="shared" ref="AV40" si="157">+AV566+AV603</f>
        <v>156048.098</v>
      </c>
      <c r="AW40" s="10">
        <f>+SUM(AF40:AI40)</f>
        <v>245248.70371565584</v>
      </c>
      <c r="AX40" s="10">
        <f>+SUM(AJ40:AM40)</f>
        <v>273529.48505218397</v>
      </c>
    </row>
    <row r="41" spans="1:50" x14ac:dyDescent="0.2">
      <c r="B41" s="20" t="s">
        <v>85</v>
      </c>
      <c r="L41" s="28">
        <f>IFERROR(L40/H40-1,"n/a")</f>
        <v>2.4479058416588204</v>
      </c>
      <c r="M41" s="28">
        <f t="shared" ref="M41" si="158">IFERROR(M40/I40-1,"n/a")</f>
        <v>1.4546512143761947</v>
      </c>
      <c r="N41" s="28">
        <f t="shared" ref="N41" si="159">IFERROR(N40/J40-1,"n/a")</f>
        <v>1.1895902425169136</v>
      </c>
      <c r="O41" s="28">
        <f t="shared" ref="O41" si="160">IFERROR(O40/K40-1,"n/a")</f>
        <v>1.0705422134425646</v>
      </c>
      <c r="P41" s="28">
        <f t="shared" ref="P41" si="161">IFERROR(P40/L40-1,"n/a")</f>
        <v>0.28374305765428209</v>
      </c>
      <c r="Q41" s="28">
        <f t="shared" ref="Q41" si="162">IFERROR(Q40/M40-1,"n/a")</f>
        <v>0.67409138046299111</v>
      </c>
      <c r="R41" s="28">
        <f t="shared" ref="R41" si="163">IFERROR(R40/N40-1,"n/a")</f>
        <v>0.9254124967020827</v>
      </c>
      <c r="S41" s="28">
        <f t="shared" ref="S41" si="164">IFERROR(S40/O40-1,"n/a")</f>
        <v>0.71542719609428573</v>
      </c>
      <c r="T41" s="28">
        <f t="shared" ref="T41" si="165">IFERROR(T40/P40-1,"n/a")</f>
        <v>1.4210184268335344</v>
      </c>
      <c r="U41" s="28">
        <f t="shared" ref="U41" si="166">IFERROR(U40/Q40-1,"n/a")</f>
        <v>0.58853970522279453</v>
      </c>
      <c r="V41" s="28">
        <f t="shared" ref="V41" si="167">IFERROR(V40/R40-1,"n/a")</f>
        <v>0.36535780233267134</v>
      </c>
      <c r="W41" s="28">
        <f t="shared" ref="W41" si="168">IFERROR(W40/S40-1,"n/a")</f>
        <v>0.37850986075382487</v>
      </c>
      <c r="X41" s="28">
        <f t="shared" ref="X41" si="169">IFERROR(X40/T40-1,"n/a")</f>
        <v>0.45668913675155554</v>
      </c>
      <c r="Y41" s="28">
        <f t="shared" ref="Y41" si="170">IFERROR(Y40/U40-1,"n/a")</f>
        <v>0.54955384666545615</v>
      </c>
      <c r="Z41" s="28">
        <f t="shared" ref="Z41" si="171">IFERROR(Z40/V40-1,"n/a")</f>
        <v>0.87855303342781133</v>
      </c>
      <c r="AA41" s="28">
        <f t="shared" ref="AA41" si="172">IFERROR(AA40/W40-1,"n/a")</f>
        <v>0.49148099505614518</v>
      </c>
      <c r="AB41" s="28">
        <f t="shared" ref="AB41" si="173">IFERROR(AB40/X40-1,"n/a")</f>
        <v>0.59518682470847861</v>
      </c>
      <c r="AC41" s="28">
        <f t="shared" ref="AC41" si="174">IFERROR(AC40/Y40-1,"n/a")</f>
        <v>0.43153840090976692</v>
      </c>
      <c r="AD41" s="28">
        <f t="shared" ref="AD41:AH41" si="175">IFERROR(AD40/Z40-1,"n/a")</f>
        <v>0.49596172239812097</v>
      </c>
      <c r="AE41" s="28">
        <f t="shared" si="175"/>
        <v>0.74240393980281616</v>
      </c>
      <c r="AF41" s="28">
        <f t="shared" si="175"/>
        <v>1.0390453805026327</v>
      </c>
      <c r="AG41" s="28">
        <f t="shared" si="175"/>
        <v>0.88579946058859149</v>
      </c>
      <c r="AH41" s="28">
        <f t="shared" si="175"/>
        <v>0.42015504908809209</v>
      </c>
      <c r="AI41" s="28">
        <f t="shared" ref="AI41:AJ41" si="176">IFERROR(AI40/AE40-1,"n/a")</f>
        <v>0.26324636465424733</v>
      </c>
      <c r="AJ41" s="28">
        <f t="shared" si="176"/>
        <v>6.0217701534079016E-2</v>
      </c>
      <c r="AK41" s="28">
        <f t="shared" ref="AK41" si="177">IFERROR(AK40/AG40-1,"n/a")</f>
        <v>3.5834935760206799E-2</v>
      </c>
      <c r="AL41" s="28">
        <f t="shared" ref="AL41" si="178">IFERROR(AL40/AH40-1,"n/a")</f>
        <v>0.17931140513328003</v>
      </c>
      <c r="AM41" s="28">
        <f t="shared" ref="AM41" si="179">IFERROR(AM40/AI40-1,"n/a")</f>
        <v>0.17708134200143832</v>
      </c>
      <c r="AP41" s="28">
        <f>IFERROR(AP40/AO40-1,"n/a")</f>
        <v>-15.052743747336004</v>
      </c>
      <c r="AQ41" s="28">
        <f t="shared" ref="AQ41" si="180">IFERROR(AQ40/AP40-1,"n/a")</f>
        <v>8.997856252482773</v>
      </c>
      <c r="AR41" s="28">
        <f t="shared" ref="AR41" si="181">IFERROR(AR40/AQ40-1,"n/a")</f>
        <v>1.3318074981486516</v>
      </c>
      <c r="AS41" s="28">
        <f t="shared" ref="AS41" si="182">IFERROR(AS40/AR40-1,"n/a")</f>
        <v>0.68907589194299912</v>
      </c>
      <c r="AT41" s="28">
        <f t="shared" ref="AT41" si="183">IFERROR(AT40/AS40-1,"n/a")</f>
        <v>0.54696666199947996</v>
      </c>
      <c r="AU41" s="28">
        <f t="shared" ref="AU41:AV41" si="184">IFERROR(AU40/AT40-1,"n/a")</f>
        <v>0.59221836000788342</v>
      </c>
      <c r="AV41" s="28">
        <f t="shared" si="184"/>
        <v>0.57419093947195843</v>
      </c>
      <c r="AW41" s="28">
        <f t="shared" ref="AW41:AX41" si="185">IFERROR(AW40/AV40-1,"n/a")</f>
        <v>0.57162251164160827</v>
      </c>
      <c r="AX41" s="28">
        <f t="shared" si="185"/>
        <v>0.11531470261843757</v>
      </c>
    </row>
    <row r="42" spans="1:50" x14ac:dyDescent="0.2">
      <c r="B42" s="20" t="s">
        <v>87</v>
      </c>
      <c r="H42" s="29">
        <f t="shared" ref="H42:AD42" si="186">IFERROR(H40/H16,"n/a")</f>
        <v>0.77004255368321906</v>
      </c>
      <c r="I42" s="29">
        <f t="shared" si="186"/>
        <v>0.85702752924830372</v>
      </c>
      <c r="J42" s="29">
        <f t="shared" si="186"/>
        <v>0.77045401845204253</v>
      </c>
      <c r="K42" s="29">
        <f t="shared" si="186"/>
        <v>0.74850784994911501</v>
      </c>
      <c r="L42" s="29">
        <f t="shared" si="186"/>
        <v>0.80880220117732893</v>
      </c>
      <c r="M42" s="29">
        <f t="shared" si="186"/>
        <v>0.78175908723282606</v>
      </c>
      <c r="N42" s="29">
        <f t="shared" si="186"/>
        <v>0.7571515001168494</v>
      </c>
      <c r="O42" s="29">
        <f t="shared" si="186"/>
        <v>0.81189358462356953</v>
      </c>
      <c r="P42" s="29">
        <f t="shared" si="186"/>
        <v>0.72148240827670262</v>
      </c>
      <c r="Q42" s="29">
        <f t="shared" si="186"/>
        <v>0.78245309007435626</v>
      </c>
      <c r="R42" s="29">
        <f t="shared" si="186"/>
        <v>0.77088100295979212</v>
      </c>
      <c r="S42" s="29">
        <f t="shared" si="186"/>
        <v>0.56620735145168277</v>
      </c>
      <c r="T42" s="29">
        <f t="shared" si="186"/>
        <v>0.51542211274465821</v>
      </c>
      <c r="U42" s="29">
        <f t="shared" si="186"/>
        <v>0.65762524179670245</v>
      </c>
      <c r="V42" s="29">
        <f t="shared" si="186"/>
        <v>0.69545091133267656</v>
      </c>
      <c r="W42" s="29">
        <f t="shared" si="186"/>
        <v>0.76094109690688472</v>
      </c>
      <c r="X42" s="29">
        <f t="shared" si="186"/>
        <v>0.69948274939627897</v>
      </c>
      <c r="Y42" s="29">
        <f t="shared" si="186"/>
        <v>0.74697880708793452</v>
      </c>
      <c r="Z42" s="29">
        <f t="shared" si="186"/>
        <v>0.79134104417312345</v>
      </c>
      <c r="AA42" s="29">
        <f t="shared" si="186"/>
        <v>0.77611949444133987</v>
      </c>
      <c r="AB42" s="29">
        <f t="shared" si="186"/>
        <v>0.70539888221845226</v>
      </c>
      <c r="AC42" s="29">
        <f t="shared" si="186"/>
        <v>0.643051950978207</v>
      </c>
      <c r="AD42" s="29">
        <f t="shared" si="186"/>
        <v>0.61055103843063252</v>
      </c>
      <c r="AE42" s="29">
        <f t="shared" ref="AE42:AI42" si="187">IFERROR(AE40/AE16,"n/a")</f>
        <v>0.60585666440701702</v>
      </c>
      <c r="AF42" s="29">
        <f t="shared" si="187"/>
        <v>0.62358717928807572</v>
      </c>
      <c r="AG42" s="29">
        <f t="shared" ref="AG42:AH42" si="188">IFERROR(AG40/AG16,"n/a")</f>
        <v>0.65319848907986178</v>
      </c>
      <c r="AH42" s="29">
        <f t="shared" si="188"/>
        <v>0.60077773504970355</v>
      </c>
      <c r="AI42" s="29">
        <f t="shared" si="187"/>
        <v>0.61913697800450718</v>
      </c>
      <c r="AJ42" s="29">
        <f t="shared" ref="AJ42:AM42" si="189">IFERROR(AJ40/AJ16,"n/a")</f>
        <v>0.60192418187637842</v>
      </c>
      <c r="AK42" s="29">
        <f t="shared" si="189"/>
        <v>0.59064778456660438</v>
      </c>
      <c r="AL42" s="29">
        <f t="shared" si="189"/>
        <v>0.59103381673145061</v>
      </c>
      <c r="AM42" s="29">
        <f t="shared" si="189"/>
        <v>0.60263029508529686</v>
      </c>
      <c r="AO42" s="29">
        <f t="shared" ref="AO42:AW42" si="190">IFERROR(AO40/AO16,"n/a")</f>
        <v>-0.14405661722760979</v>
      </c>
      <c r="AP42" s="29">
        <f t="shared" si="190"/>
        <v>0.5860077198470709</v>
      </c>
      <c r="AQ42" s="29">
        <f t="shared" si="190"/>
        <v>0.77882902349773131</v>
      </c>
      <c r="AR42" s="29">
        <f t="shared" si="190"/>
        <v>0.79049277142113805</v>
      </c>
      <c r="AS42" s="29">
        <f t="shared" si="190"/>
        <v>0.67648770130168212</v>
      </c>
      <c r="AT42" s="29">
        <f t="shared" si="190"/>
        <v>0.66267706677276295</v>
      </c>
      <c r="AU42" s="29">
        <f t="shared" si="190"/>
        <v>0.75927473660684719</v>
      </c>
      <c r="AV42" s="29">
        <f t="shared" ref="AV42" si="191">IFERROR(AV40/AV16,"n/a")</f>
        <v>0.63014294525779957</v>
      </c>
      <c r="AW42" s="29">
        <f t="shared" si="190"/>
        <v>0.62388964009050918</v>
      </c>
      <c r="AX42" s="29">
        <f t="shared" ref="AX42" si="192">IFERROR(AX40/AX16,"n/a")</f>
        <v>0.59656548168220958</v>
      </c>
    </row>
    <row r="44" spans="1:50" ht="10.15" x14ac:dyDescent="0.2">
      <c r="A44" t="s">
        <v>248</v>
      </c>
      <c r="B44" t="s">
        <v>88</v>
      </c>
      <c r="H44" s="10">
        <f>+H568-H604</f>
        <v>1216.2560000000001</v>
      </c>
      <c r="I44" s="10">
        <f t="shared" ref="I44:AD44" si="193">+I568-I604</f>
        <v>2938.4429999999998</v>
      </c>
      <c r="J44" s="10">
        <f t="shared" si="193"/>
        <v>3049.1790000000001</v>
      </c>
      <c r="K44" s="10">
        <f t="shared" si="193"/>
        <v>5832.13</v>
      </c>
      <c r="L44" s="10">
        <f t="shared" si="193"/>
        <v>4693.134</v>
      </c>
      <c r="M44" s="10">
        <f t="shared" si="193"/>
        <v>5895.3240000000005</v>
      </c>
      <c r="N44" s="10">
        <f t="shared" si="193"/>
        <v>6689.7470000000003</v>
      </c>
      <c r="O44" s="10">
        <f t="shared" si="193"/>
        <v>9035.1820000000007</v>
      </c>
      <c r="P44" s="10">
        <f t="shared" si="193"/>
        <v>7064.8220000000001</v>
      </c>
      <c r="Q44" s="10">
        <f t="shared" si="193"/>
        <v>8864.0420000000013</v>
      </c>
      <c r="R44" s="10">
        <f t="shared" si="193"/>
        <v>9736.5370000000003</v>
      </c>
      <c r="S44" s="10">
        <f t="shared" si="193"/>
        <v>14435.651</v>
      </c>
      <c r="T44" s="10">
        <f t="shared" si="193"/>
        <v>12697.923999999999</v>
      </c>
      <c r="U44" s="10">
        <f t="shared" si="193"/>
        <v>10004.332999999999</v>
      </c>
      <c r="V44" s="10">
        <f t="shared" si="193"/>
        <v>9665.9070000000011</v>
      </c>
      <c r="W44" s="10">
        <f t="shared" si="193"/>
        <v>10821.336999999998</v>
      </c>
      <c r="X44" s="10">
        <f t="shared" si="193"/>
        <v>10717.963</v>
      </c>
      <c r="Y44" s="10">
        <f t="shared" si="193"/>
        <v>10829.888000000001</v>
      </c>
      <c r="Z44" s="10">
        <f t="shared" si="193"/>
        <v>13440.358</v>
      </c>
      <c r="AA44" s="10">
        <f t="shared" si="193"/>
        <v>17196.833999999999</v>
      </c>
      <c r="AB44" s="10">
        <f t="shared" si="193"/>
        <v>15770.915000000001</v>
      </c>
      <c r="AC44" s="10">
        <f t="shared" si="193"/>
        <v>16552.882999999998</v>
      </c>
      <c r="AD44" s="10">
        <f t="shared" si="193"/>
        <v>21283.499</v>
      </c>
      <c r="AE44" s="10">
        <f t="shared" ref="AE44:AF44" si="194">+AE568-AE604</f>
        <v>26227.476000000002</v>
      </c>
      <c r="AF44" s="10">
        <f t="shared" si="194"/>
        <v>22738.28</v>
      </c>
      <c r="AG44" s="10">
        <f t="shared" ref="AG44:AH44" si="195">+AG568-AG604</f>
        <v>25411.14</v>
      </c>
      <c r="AH44" s="10">
        <f t="shared" si="195"/>
        <v>29833.694</v>
      </c>
      <c r="AI44" s="14">
        <f t="shared" ref="AI44" si="196">+AI450</f>
        <v>39602.841967852597</v>
      </c>
      <c r="AJ44" s="14">
        <f t="shared" ref="AJ44:AM44" si="197">+AJ450</f>
        <v>32778.256791862012</v>
      </c>
      <c r="AK44" s="14">
        <f t="shared" si="197"/>
        <v>36147.267072407492</v>
      </c>
      <c r="AL44" s="14">
        <f t="shared" si="197"/>
        <v>39020.549657420575</v>
      </c>
      <c r="AM44" s="14">
        <f t="shared" si="197"/>
        <v>45331.893527347027</v>
      </c>
      <c r="AO44" s="10">
        <f t="shared" ref="AO44:AU44" si="198">+AO568-AO604</f>
        <v>168.42700000000002</v>
      </c>
      <c r="AP44" s="10">
        <f t="shared" si="198"/>
        <v>1342.9070000000002</v>
      </c>
      <c r="AQ44" s="10">
        <f t="shared" si="198"/>
        <v>13036.008</v>
      </c>
      <c r="AR44" s="10">
        <f t="shared" si="198"/>
        <v>26313.386999999999</v>
      </c>
      <c r="AS44" s="10">
        <f t="shared" si="198"/>
        <v>40101.052000000003</v>
      </c>
      <c r="AT44" s="10">
        <f t="shared" si="198"/>
        <v>43189.501000000004</v>
      </c>
      <c r="AU44" s="10">
        <f t="shared" si="198"/>
        <v>52185.042999999998</v>
      </c>
      <c r="AV44" s="10">
        <f t="shared" ref="AV44" si="199">+AV568-AV604</f>
        <v>79834.773000000001</v>
      </c>
      <c r="AW44" s="10">
        <f>+SUM(AF44:AI44)</f>
        <v>117585.9559678526</v>
      </c>
      <c r="AX44" s="10">
        <f t="shared" ref="AX44:AX47" si="200">+SUM(AJ44:AM44)</f>
        <v>153277.96704903711</v>
      </c>
    </row>
    <row r="45" spans="1:50" x14ac:dyDescent="0.2">
      <c r="A45" t="s">
        <v>249</v>
      </c>
      <c r="B45" t="s">
        <v>89</v>
      </c>
      <c r="H45" s="10">
        <f>+H570-H606</f>
        <v>65.736999999999995</v>
      </c>
      <c r="I45" s="10">
        <f t="shared" ref="I45:AD45" si="201">+I570-I606</f>
        <v>169.047</v>
      </c>
      <c r="J45" s="10">
        <f t="shared" si="201"/>
        <v>298.34500000000003</v>
      </c>
      <c r="K45" s="10">
        <f t="shared" si="201"/>
        <v>446.83399999999995</v>
      </c>
      <c r="L45" s="10">
        <f t="shared" si="201"/>
        <v>537.85400000000004</v>
      </c>
      <c r="M45" s="10">
        <f t="shared" si="201"/>
        <v>610.84799999999996</v>
      </c>
      <c r="N45" s="10">
        <f t="shared" si="201"/>
        <v>892.452</v>
      </c>
      <c r="O45" s="10">
        <f t="shared" si="201"/>
        <v>942.83600000000001</v>
      </c>
      <c r="P45" s="10">
        <f t="shared" si="201"/>
        <v>1124.211</v>
      </c>
      <c r="Q45" s="10">
        <f t="shared" si="201"/>
        <v>1265.2</v>
      </c>
      <c r="R45" s="10">
        <f t="shared" si="201"/>
        <v>1424.723</v>
      </c>
      <c r="S45" s="10">
        <f t="shared" si="201"/>
        <v>1557.299</v>
      </c>
      <c r="T45" s="10">
        <f t="shared" si="201"/>
        <v>1740.951</v>
      </c>
      <c r="U45" s="10">
        <f t="shared" si="201"/>
        <v>1752.415</v>
      </c>
      <c r="V45" s="10">
        <f t="shared" si="201"/>
        <v>1851.4919999999997</v>
      </c>
      <c r="W45" s="10">
        <f t="shared" si="201"/>
        <v>1304.2659999999996</v>
      </c>
      <c r="X45" s="10">
        <f t="shared" si="201"/>
        <v>2039.3389999999999</v>
      </c>
      <c r="Y45" s="10">
        <f t="shared" si="201"/>
        <v>1948.585</v>
      </c>
      <c r="Z45" s="10">
        <f t="shared" si="201"/>
        <v>2127.8389999999999</v>
      </c>
      <c r="AA45" s="10">
        <f t="shared" si="201"/>
        <v>1747.3790000000006</v>
      </c>
      <c r="AB45" s="10">
        <f t="shared" si="201"/>
        <v>1977.4580000000001</v>
      </c>
      <c r="AC45" s="10">
        <f t="shared" si="201"/>
        <v>2086.7359999999999</v>
      </c>
      <c r="AD45" s="10">
        <f t="shared" si="201"/>
        <v>2217.9290000000001</v>
      </c>
      <c r="AE45" s="10">
        <f t="shared" ref="AE45:AF45" si="202">+AE570-AE606</f>
        <v>2367.2959999999998</v>
      </c>
      <c r="AF45" s="10">
        <f t="shared" si="202"/>
        <v>2272.7349999999997</v>
      </c>
      <c r="AG45" s="10">
        <f t="shared" ref="AG45:AH45" si="203">+AG570-AG606</f>
        <v>2407.1120000000001</v>
      </c>
      <c r="AH45" s="10">
        <f t="shared" si="203"/>
        <v>2438.7939999999999</v>
      </c>
      <c r="AI45" s="10">
        <f t="shared" ref="AI45" si="204">+AI470</f>
        <v>2800</v>
      </c>
      <c r="AJ45" s="10">
        <f t="shared" ref="AJ45:AM45" si="205">+AJ470</f>
        <v>3000</v>
      </c>
      <c r="AK45" s="10">
        <f t="shared" si="205"/>
        <v>3200</v>
      </c>
      <c r="AL45" s="10">
        <f t="shared" si="205"/>
        <v>3200</v>
      </c>
      <c r="AM45" s="10">
        <f t="shared" si="205"/>
        <v>3200</v>
      </c>
      <c r="AO45" s="10">
        <f t="shared" ref="AO45:AU45" si="206">+AO570-AO606</f>
        <v>27.672999999999998</v>
      </c>
      <c r="AP45" s="10">
        <f t="shared" si="206"/>
        <v>123.28800000000001</v>
      </c>
      <c r="AQ45" s="10">
        <f t="shared" si="206"/>
        <v>979.96299999999997</v>
      </c>
      <c r="AR45" s="10">
        <f t="shared" si="206"/>
        <v>2983.9900000000002</v>
      </c>
      <c r="AS45" s="10">
        <f t="shared" si="206"/>
        <v>5371.433</v>
      </c>
      <c r="AT45" s="10">
        <f t="shared" si="206"/>
        <v>6649.1239999999998</v>
      </c>
      <c r="AU45" s="10">
        <f t="shared" si="206"/>
        <v>7863.1419999999998</v>
      </c>
      <c r="AV45" s="10">
        <f t="shared" ref="AV45" si="207">+AV570-AV606</f>
        <v>8649.4189999999999</v>
      </c>
      <c r="AW45" s="10">
        <f>+SUM(AF45:AI45)</f>
        <v>9918.6409999999996</v>
      </c>
      <c r="AX45" s="10">
        <f t="shared" si="200"/>
        <v>12600</v>
      </c>
    </row>
    <row r="46" spans="1:50" ht="13.5" x14ac:dyDescent="0.35">
      <c r="A46" t="s">
        <v>250</v>
      </c>
      <c r="B46" t="s">
        <v>90</v>
      </c>
      <c r="H46" s="25">
        <f>+H569-H605</f>
        <v>23.733999999999998</v>
      </c>
      <c r="I46" s="25">
        <f t="shared" ref="I46:AD46" si="208">+I569-I605</f>
        <v>29.966999999999643</v>
      </c>
      <c r="J46" s="25">
        <f t="shared" si="208"/>
        <v>40.787000000000035</v>
      </c>
      <c r="K46" s="25">
        <f t="shared" si="208"/>
        <v>65.937999999999477</v>
      </c>
      <c r="L46" s="25">
        <f t="shared" si="208"/>
        <v>67.072000000000003</v>
      </c>
      <c r="M46" s="25">
        <f t="shared" si="208"/>
        <v>91.296000000000021</v>
      </c>
      <c r="N46" s="25">
        <f t="shared" si="208"/>
        <v>230.54400000000001</v>
      </c>
      <c r="O46" s="25">
        <f t="shared" si="208"/>
        <v>121.15900000000002</v>
      </c>
      <c r="P46" s="25">
        <f t="shared" si="208"/>
        <v>118.08600000000001</v>
      </c>
      <c r="Q46" s="25">
        <f t="shared" si="208"/>
        <v>136.52600000000001</v>
      </c>
      <c r="R46" s="25">
        <f t="shared" si="208"/>
        <v>132.6</v>
      </c>
      <c r="S46" s="25">
        <f t="shared" si="208"/>
        <v>153.1</v>
      </c>
      <c r="T46" s="25">
        <f t="shared" si="208"/>
        <v>160.68500000000003</v>
      </c>
      <c r="U46" s="25">
        <f t="shared" si="208"/>
        <v>213.786</v>
      </c>
      <c r="V46" s="25">
        <f t="shared" si="208"/>
        <v>178.07499999999999</v>
      </c>
      <c r="W46" s="25">
        <f t="shared" si="208"/>
        <v>195.80699999999968</v>
      </c>
      <c r="X46" s="25">
        <f t="shared" si="208"/>
        <v>208.81700000000006</v>
      </c>
      <c r="Y46" s="25">
        <f t="shared" si="208"/>
        <v>164.70299999999997</v>
      </c>
      <c r="Z46" s="25">
        <f t="shared" si="208"/>
        <v>226.32100000000003</v>
      </c>
      <c r="AA46" s="25">
        <f t="shared" si="208"/>
        <v>360.76699999999983</v>
      </c>
      <c r="AB46" s="25">
        <f t="shared" si="208"/>
        <v>338.34000000000003</v>
      </c>
      <c r="AC46" s="25">
        <f t="shared" si="208"/>
        <v>370.23400000000004</v>
      </c>
      <c r="AD46" s="25">
        <f t="shared" si="208"/>
        <v>403.29200000000003</v>
      </c>
      <c r="AE46" s="25">
        <f t="shared" ref="AE46:AF46" si="209">+AE569-AE605</f>
        <v>674.48400000000015</v>
      </c>
      <c r="AF46" s="25">
        <f t="shared" si="209"/>
        <v>571.67699999999991</v>
      </c>
      <c r="AG46" s="25">
        <f t="shared" ref="AG46:AH46" si="210">+AG569-AG605</f>
        <v>593.58899999999994</v>
      </c>
      <c r="AH46" s="25">
        <f t="shared" si="210"/>
        <v>646.96100000000001</v>
      </c>
      <c r="AI46" s="25">
        <f t="shared" ref="AI46" si="211">+AI477</f>
        <v>900</v>
      </c>
      <c r="AJ46" s="25">
        <f t="shared" ref="AJ46:AM46" si="212">+AJ477</f>
        <v>800</v>
      </c>
      <c r="AK46" s="25">
        <f t="shared" si="212"/>
        <v>850</v>
      </c>
      <c r="AL46" s="25">
        <f t="shared" si="212"/>
        <v>900</v>
      </c>
      <c r="AM46" s="25">
        <f t="shared" si="212"/>
        <v>1100</v>
      </c>
      <c r="AO46" s="25">
        <f t="shared" ref="AO46:AU46" si="213">+AO569-AO605</f>
        <v>13.315999999999999</v>
      </c>
      <c r="AP46" s="25">
        <f t="shared" si="213"/>
        <v>25.065999999999988</v>
      </c>
      <c r="AQ46" s="25">
        <f t="shared" si="213"/>
        <v>160.42600000000039</v>
      </c>
      <c r="AR46" s="25">
        <f t="shared" si="213"/>
        <v>510.07100000000003</v>
      </c>
      <c r="AS46" s="25">
        <f t="shared" si="213"/>
        <v>540.31199999999978</v>
      </c>
      <c r="AT46" s="25">
        <f t="shared" si="213"/>
        <v>748.35299999999984</v>
      </c>
      <c r="AU46" s="25">
        <f t="shared" si="213"/>
        <v>960.60799999999972</v>
      </c>
      <c r="AV46" s="25">
        <f t="shared" ref="AV46" si="214">+AV569-AV605</f>
        <v>1786.35</v>
      </c>
      <c r="AW46" s="25">
        <f>+SUM(AF46:AI46)</f>
        <v>2712.2269999999999</v>
      </c>
      <c r="AX46" s="25">
        <f t="shared" si="200"/>
        <v>3650</v>
      </c>
    </row>
    <row r="47" spans="1:50" x14ac:dyDescent="0.2">
      <c r="B47" s="4" t="s">
        <v>91</v>
      </c>
      <c r="H47" s="10">
        <f>IFERROR(H44+H45+H46,"n/a")</f>
        <v>1305.7270000000001</v>
      </c>
      <c r="I47" s="10">
        <f t="shared" ref="I47:AI47" si="215">IFERROR(I44+I45+I46,"n/a")</f>
        <v>3137.4569999999994</v>
      </c>
      <c r="J47" s="10">
        <f t="shared" si="215"/>
        <v>3388.3110000000006</v>
      </c>
      <c r="K47" s="10">
        <f t="shared" si="215"/>
        <v>6344.9019999999991</v>
      </c>
      <c r="L47" s="10">
        <f t="shared" si="215"/>
        <v>5298.06</v>
      </c>
      <c r="M47" s="10">
        <f t="shared" si="215"/>
        <v>6597.4680000000008</v>
      </c>
      <c r="N47" s="10">
        <f t="shared" si="215"/>
        <v>7812.7430000000004</v>
      </c>
      <c r="O47" s="10">
        <f t="shared" si="215"/>
        <v>10099.177</v>
      </c>
      <c r="P47" s="10">
        <f t="shared" si="215"/>
        <v>8307.1190000000006</v>
      </c>
      <c r="Q47" s="10">
        <f t="shared" si="215"/>
        <v>10265.768000000002</v>
      </c>
      <c r="R47" s="10">
        <f t="shared" si="215"/>
        <v>11293.86</v>
      </c>
      <c r="S47" s="10">
        <f t="shared" si="215"/>
        <v>16146.050000000001</v>
      </c>
      <c r="T47" s="10">
        <f t="shared" si="215"/>
        <v>14599.56</v>
      </c>
      <c r="U47" s="10">
        <f t="shared" si="215"/>
        <v>11970.534</v>
      </c>
      <c r="V47" s="10">
        <f t="shared" si="215"/>
        <v>11695.474000000002</v>
      </c>
      <c r="W47" s="10">
        <f t="shared" si="215"/>
        <v>12321.409999999996</v>
      </c>
      <c r="X47" s="10">
        <f t="shared" si="215"/>
        <v>12966.119000000001</v>
      </c>
      <c r="Y47" s="10">
        <f t="shared" si="215"/>
        <v>12943.176000000001</v>
      </c>
      <c r="Z47" s="10">
        <f t="shared" si="215"/>
        <v>15794.518</v>
      </c>
      <c r="AA47" s="10">
        <f t="shared" si="215"/>
        <v>19304.98</v>
      </c>
      <c r="AB47" s="10">
        <f t="shared" si="215"/>
        <v>18086.713</v>
      </c>
      <c r="AC47" s="10">
        <f t="shared" si="215"/>
        <v>19009.852999999999</v>
      </c>
      <c r="AD47" s="10">
        <f t="shared" si="215"/>
        <v>23904.720000000001</v>
      </c>
      <c r="AE47" s="10">
        <f t="shared" ref="AE47:AF47" si="216">IFERROR(AE44+AE45+AE46,"n/a")</f>
        <v>29269.256000000001</v>
      </c>
      <c r="AF47" s="10">
        <f t="shared" si="216"/>
        <v>25582.691999999999</v>
      </c>
      <c r="AG47" s="10">
        <f t="shared" ref="AG47:AH47" si="217">IFERROR(AG44+AG45+AG46,"n/a")</f>
        <v>28411.841</v>
      </c>
      <c r="AH47" s="10">
        <f t="shared" si="217"/>
        <v>32919.449000000001</v>
      </c>
      <c r="AI47" s="10">
        <f t="shared" si="215"/>
        <v>43302.841967852597</v>
      </c>
      <c r="AJ47" s="10">
        <f t="shared" ref="AJ47:AM47" si="218">IFERROR(AJ44+AJ45+AJ46,"n/a")</f>
        <v>36578.256791862012</v>
      </c>
      <c r="AK47" s="10">
        <f t="shared" si="218"/>
        <v>40197.267072407492</v>
      </c>
      <c r="AL47" s="10">
        <f t="shared" si="218"/>
        <v>43120.549657420575</v>
      </c>
      <c r="AM47" s="10">
        <f t="shared" si="218"/>
        <v>49631.893527347027</v>
      </c>
      <c r="AO47" s="10">
        <f t="shared" ref="AO47" si="219">IFERROR(AO44+AO45+AO46,"n/a")</f>
        <v>209.41600000000003</v>
      </c>
      <c r="AP47" s="10">
        <f t="shared" ref="AP47" si="220">IFERROR(AP44+AP45+AP46,"n/a")</f>
        <v>1491.2610000000002</v>
      </c>
      <c r="AQ47" s="10">
        <f t="shared" ref="AQ47" si="221">IFERROR(AQ44+AQ45+AQ46,"n/a")</f>
        <v>14176.397000000001</v>
      </c>
      <c r="AR47" s="10">
        <f t="shared" ref="AR47" si="222">IFERROR(AR44+AR45+AR46,"n/a")</f>
        <v>29807.448</v>
      </c>
      <c r="AS47" s="10">
        <f t="shared" ref="AS47" si="223">IFERROR(AS44+AS45+AS46,"n/a")</f>
        <v>46012.796999999999</v>
      </c>
      <c r="AT47" s="10">
        <f t="shared" ref="AT47" si="224">IFERROR(AT44+AT45+AT46,"n/a")</f>
        <v>50586.978000000003</v>
      </c>
      <c r="AU47" s="10">
        <f t="shared" ref="AU47:AV47" si="225">IFERROR(AU44+AU45+AU46,"n/a")</f>
        <v>61008.792999999998</v>
      </c>
      <c r="AV47" s="10">
        <f t="shared" si="225"/>
        <v>90270.542000000001</v>
      </c>
      <c r="AW47" s="10">
        <f>+SUM(AF47:AI47)</f>
        <v>130216.82396785259</v>
      </c>
      <c r="AX47" s="10">
        <f t="shared" si="200"/>
        <v>169527.96704903711</v>
      </c>
    </row>
    <row r="48" spans="1:50" x14ac:dyDescent="0.2">
      <c r="B48" s="4"/>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O48" s="10"/>
      <c r="AP48" s="10"/>
      <c r="AQ48" s="10"/>
      <c r="AR48" s="10"/>
      <c r="AS48" s="10"/>
      <c r="AT48" s="10"/>
      <c r="AU48" s="10"/>
      <c r="AV48" s="10"/>
    </row>
    <row r="49" spans="2:52" x14ac:dyDescent="0.2">
      <c r="B49" s="19" t="s">
        <v>85</v>
      </c>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O49" s="10"/>
      <c r="AP49" s="10"/>
      <c r="AQ49" s="10"/>
      <c r="AR49" s="10"/>
      <c r="AS49" s="10"/>
      <c r="AT49" s="10"/>
      <c r="AU49" s="10"/>
      <c r="AV49" s="10"/>
    </row>
    <row r="50" spans="2:52" x14ac:dyDescent="0.2">
      <c r="B50" s="20" t="s">
        <v>88</v>
      </c>
      <c r="H50" s="10"/>
      <c r="I50" s="10"/>
      <c r="J50" s="10"/>
      <c r="K50" s="10"/>
      <c r="L50" s="28">
        <f>IFERROR(L44/H44-1,"n/a")</f>
        <v>2.8586728451904859</v>
      </c>
      <c r="M50" s="28">
        <f t="shared" ref="M50:AH53" si="226">IFERROR(M44/I44-1,"n/a")</f>
        <v>1.006274751628669</v>
      </c>
      <c r="N50" s="28">
        <f t="shared" si="226"/>
        <v>1.1939502403761799</v>
      </c>
      <c r="O50" s="28">
        <f t="shared" si="226"/>
        <v>0.54920792231997573</v>
      </c>
      <c r="P50" s="28">
        <f t="shared" si="226"/>
        <v>0.50535271313369701</v>
      </c>
      <c r="Q50" s="28">
        <f t="shared" si="226"/>
        <v>0.50357164423872214</v>
      </c>
      <c r="R50" s="28">
        <f t="shared" si="226"/>
        <v>0.45544173793119525</v>
      </c>
      <c r="S50" s="28">
        <f t="shared" si="226"/>
        <v>0.59771557451748047</v>
      </c>
      <c r="T50" s="28">
        <f t="shared" si="226"/>
        <v>0.79734521266070102</v>
      </c>
      <c r="U50" s="28">
        <f t="shared" si="226"/>
        <v>0.12864232818391397</v>
      </c>
      <c r="V50" s="28">
        <f t="shared" si="226"/>
        <v>-7.2541192006972954E-3</v>
      </c>
      <c r="W50" s="28">
        <f t="shared" si="226"/>
        <v>-0.25037416047256911</v>
      </c>
      <c r="X50" s="28">
        <f t="shared" si="226"/>
        <v>-0.15592792963637203</v>
      </c>
      <c r="Y50" s="28">
        <f t="shared" si="226"/>
        <v>8.251974419484065E-2</v>
      </c>
      <c r="Z50" s="28">
        <f t="shared" si="226"/>
        <v>0.39049113549302716</v>
      </c>
      <c r="AA50" s="28">
        <f t="shared" si="226"/>
        <v>0.58915982378147946</v>
      </c>
      <c r="AB50" s="28">
        <f t="shared" si="226"/>
        <v>0.47144704642104118</v>
      </c>
      <c r="AC50" s="28">
        <f t="shared" si="226"/>
        <v>0.52844452315665658</v>
      </c>
      <c r="AD50" s="28">
        <f t="shared" si="226"/>
        <v>0.58355149468488854</v>
      </c>
      <c r="AE50" s="28">
        <f t="shared" si="226"/>
        <v>0.52513398687223489</v>
      </c>
      <c r="AF50" s="28">
        <f t="shared" si="226"/>
        <v>0.4417857175693356</v>
      </c>
      <c r="AG50" s="28">
        <f t="shared" si="226"/>
        <v>0.53514889218995876</v>
      </c>
      <c r="AH50" s="28">
        <f t="shared" si="226"/>
        <v>0.40172882287823075</v>
      </c>
      <c r="AI50" s="28">
        <f t="shared" ref="AI50:AJ53" si="227">IFERROR(AI44/AE44-1,"n/a")</f>
        <v>0.50997533913871829</v>
      </c>
      <c r="AJ50" s="28">
        <f t="shared" si="227"/>
        <v>0.44154512970470994</v>
      </c>
      <c r="AK50" s="28">
        <f t="shared" ref="AK50:AK53" si="228">IFERROR(AK44/AG44-1,"n/a")</f>
        <v>0.42249686839738376</v>
      </c>
      <c r="AL50" s="28">
        <f t="shared" ref="AL50:AL53" si="229">IFERROR(AL44/AH44-1,"n/a")</f>
        <v>0.30793557302761698</v>
      </c>
      <c r="AM50" s="28">
        <f t="shared" ref="AM50:AM53" si="230">IFERROR(AM44/AI44-1,"n/a")</f>
        <v>0.14466263719520334</v>
      </c>
      <c r="AO50" s="10"/>
      <c r="AP50" s="28">
        <f>IFERROR(AP44/AO44-1,"n/a")</f>
        <v>6.9732287578594878</v>
      </c>
      <c r="AQ50" s="28">
        <f t="shared" ref="AQ50:AV50" si="231">IFERROR(AQ44/AP44-1,"n/a")</f>
        <v>8.7073051223949225</v>
      </c>
      <c r="AR50" s="28">
        <f t="shared" si="231"/>
        <v>1.0185157143199053</v>
      </c>
      <c r="AS50" s="28">
        <f t="shared" si="231"/>
        <v>0.52397910614851684</v>
      </c>
      <c r="AT50" s="28">
        <f t="shared" si="231"/>
        <v>7.7016657817356116E-2</v>
      </c>
      <c r="AU50" s="28">
        <f t="shared" si="231"/>
        <v>0.20828075786288869</v>
      </c>
      <c r="AV50" s="28">
        <f t="shared" si="231"/>
        <v>0.52984013062900037</v>
      </c>
      <c r="AW50" s="28">
        <f t="shared" ref="AW50:AX53" si="232">IFERROR(AW44/AV44-1,"n/a")</f>
        <v>0.47286641583928102</v>
      </c>
      <c r="AX50" s="28">
        <f t="shared" si="232"/>
        <v>0.30353974492449187</v>
      </c>
    </row>
    <row r="51" spans="2:52" x14ac:dyDescent="0.2">
      <c r="B51" s="20" t="s">
        <v>89</v>
      </c>
      <c r="H51" s="10"/>
      <c r="I51" s="10"/>
      <c r="J51" s="10"/>
      <c r="K51" s="10"/>
      <c r="L51" s="28">
        <f t="shared" ref="L51:L53" si="233">IFERROR(L45/H45-1,"n/a")</f>
        <v>7.1819066887749674</v>
      </c>
      <c r="M51" s="28">
        <f t="shared" si="226"/>
        <v>2.6134802747164989</v>
      </c>
      <c r="N51" s="28">
        <f t="shared" si="226"/>
        <v>1.9913422380130381</v>
      </c>
      <c r="O51" s="28">
        <f t="shared" si="226"/>
        <v>1.1100363893526457</v>
      </c>
      <c r="P51" s="28">
        <f t="shared" si="226"/>
        <v>1.0901787473924149</v>
      </c>
      <c r="Q51" s="28">
        <f t="shared" si="226"/>
        <v>1.0712190266645716</v>
      </c>
      <c r="R51" s="28">
        <f t="shared" si="226"/>
        <v>0.59641414888419764</v>
      </c>
      <c r="S51" s="28">
        <f t="shared" si="226"/>
        <v>0.65171779609603364</v>
      </c>
      <c r="T51" s="28">
        <f t="shared" si="226"/>
        <v>0.54859808345586369</v>
      </c>
      <c r="U51" s="28">
        <f t="shared" si="226"/>
        <v>0.3850893139424596</v>
      </c>
      <c r="V51" s="28">
        <f t="shared" si="226"/>
        <v>0.29954524493533108</v>
      </c>
      <c r="W51" s="28">
        <f t="shared" si="226"/>
        <v>-0.16248196396453107</v>
      </c>
      <c r="X51" s="28">
        <f t="shared" si="226"/>
        <v>0.17139368081008599</v>
      </c>
      <c r="Y51" s="28">
        <f t="shared" si="226"/>
        <v>0.11194266198360547</v>
      </c>
      <c r="Z51" s="28">
        <f t="shared" si="226"/>
        <v>0.1492563835004419</v>
      </c>
      <c r="AA51" s="28">
        <f t="shared" si="226"/>
        <v>0.33974127976961843</v>
      </c>
      <c r="AB51" s="28">
        <f t="shared" si="226"/>
        <v>-3.0343655468757169E-2</v>
      </c>
      <c r="AC51" s="28">
        <f t="shared" si="226"/>
        <v>7.0898113246278704E-2</v>
      </c>
      <c r="AD51" s="28">
        <f t="shared" si="226"/>
        <v>4.2338729574935119E-2</v>
      </c>
      <c r="AE51" s="28">
        <f t="shared" si="226"/>
        <v>0.35476962925615974</v>
      </c>
      <c r="AF51" s="28">
        <f t="shared" si="226"/>
        <v>0.14932150265644051</v>
      </c>
      <c r="AG51" s="28">
        <f t="shared" si="226"/>
        <v>0.15352972297406109</v>
      </c>
      <c r="AH51" s="28">
        <f t="shared" si="226"/>
        <v>9.9581636743105717E-2</v>
      </c>
      <c r="AI51" s="28">
        <f t="shared" si="227"/>
        <v>0.18278407094000926</v>
      </c>
      <c r="AJ51" s="28">
        <f t="shared" si="227"/>
        <v>0.31999551201525933</v>
      </c>
      <c r="AK51" s="28">
        <f t="shared" si="228"/>
        <v>0.32939389608792613</v>
      </c>
      <c r="AL51" s="28">
        <f t="shared" si="229"/>
        <v>0.31212394322767745</v>
      </c>
      <c r="AM51" s="28">
        <f t="shared" si="230"/>
        <v>0.14285714285714279</v>
      </c>
      <c r="AO51" s="10"/>
      <c r="AP51" s="28">
        <f t="shared" ref="AP51:AV53" si="234">IFERROR(AP45/AO45-1,"n/a")</f>
        <v>3.4551729122249126</v>
      </c>
      <c r="AQ51" s="28">
        <f t="shared" si="234"/>
        <v>6.9485675815975592</v>
      </c>
      <c r="AR51" s="28">
        <f t="shared" si="234"/>
        <v>2.0450027194904301</v>
      </c>
      <c r="AS51" s="28">
        <f t="shared" si="234"/>
        <v>0.80008411556338976</v>
      </c>
      <c r="AT51" s="28">
        <f t="shared" si="234"/>
        <v>0.23786780920473172</v>
      </c>
      <c r="AU51" s="28">
        <f t="shared" si="234"/>
        <v>0.18258314929906549</v>
      </c>
      <c r="AV51" s="28">
        <f t="shared" si="234"/>
        <v>9.9995269066742054E-2</v>
      </c>
      <c r="AW51" s="28">
        <f t="shared" si="232"/>
        <v>0.14674072327863863</v>
      </c>
      <c r="AX51" s="28">
        <f t="shared" si="232"/>
        <v>0.27033532113925696</v>
      </c>
    </row>
    <row r="52" spans="2:52" ht="13.5" x14ac:dyDescent="0.35">
      <c r="B52" s="20" t="s">
        <v>90</v>
      </c>
      <c r="H52" s="10"/>
      <c r="I52" s="10"/>
      <c r="J52" s="10"/>
      <c r="K52" s="10"/>
      <c r="L52" s="31">
        <f t="shared" si="233"/>
        <v>1.8259880340439878</v>
      </c>
      <c r="M52" s="31">
        <f t="shared" si="226"/>
        <v>2.0465512063269964</v>
      </c>
      <c r="N52" s="31">
        <f t="shared" si="226"/>
        <v>4.6523892416701358</v>
      </c>
      <c r="O52" s="31">
        <f t="shared" si="226"/>
        <v>0.83746853104432928</v>
      </c>
      <c r="P52" s="31">
        <f t="shared" si="226"/>
        <v>0.76058563931297729</v>
      </c>
      <c r="Q52" s="31">
        <f t="shared" si="226"/>
        <v>0.49542148615492443</v>
      </c>
      <c r="R52" s="31">
        <f t="shared" si="226"/>
        <v>-0.42483864251509473</v>
      </c>
      <c r="S52" s="31">
        <f t="shared" si="226"/>
        <v>0.2636287853151642</v>
      </c>
      <c r="T52" s="31">
        <f t="shared" si="226"/>
        <v>0.36074555832190103</v>
      </c>
      <c r="U52" s="31">
        <f t="shared" si="226"/>
        <v>0.56589953561958883</v>
      </c>
      <c r="V52" s="31">
        <f t="shared" si="226"/>
        <v>0.34294871794871784</v>
      </c>
      <c r="W52" s="31">
        <f t="shared" si="226"/>
        <v>0.27894839973873076</v>
      </c>
      <c r="X52" s="31">
        <f t="shared" si="226"/>
        <v>0.29954258331518213</v>
      </c>
      <c r="Y52" s="31">
        <f t="shared" si="226"/>
        <v>-0.22958940248659887</v>
      </c>
      <c r="Z52" s="31">
        <f t="shared" si="226"/>
        <v>0.27093078758949907</v>
      </c>
      <c r="AA52" s="31">
        <f t="shared" si="226"/>
        <v>0.84246222045177355</v>
      </c>
      <c r="AB52" s="31">
        <f t="shared" si="226"/>
        <v>0.62027038028512971</v>
      </c>
      <c r="AC52" s="31">
        <f t="shared" si="226"/>
        <v>1.2478886237652023</v>
      </c>
      <c r="AD52" s="31">
        <f t="shared" si="226"/>
        <v>0.78194688075786156</v>
      </c>
      <c r="AE52" s="31">
        <f t="shared" si="226"/>
        <v>0.86958341533455252</v>
      </c>
      <c r="AF52" s="31">
        <f t="shared" si="226"/>
        <v>0.68965242064195742</v>
      </c>
      <c r="AG52" s="31">
        <f t="shared" si="226"/>
        <v>0.6032806279272025</v>
      </c>
      <c r="AH52" s="31">
        <f t="shared" si="226"/>
        <v>0.6041999345387461</v>
      </c>
      <c r="AI52" s="31">
        <f t="shared" si="227"/>
        <v>0.33435337235575613</v>
      </c>
      <c r="AJ52" s="31">
        <f t="shared" si="227"/>
        <v>0.39939161449559824</v>
      </c>
      <c r="AK52" s="31">
        <f t="shared" si="228"/>
        <v>0.43196723658962699</v>
      </c>
      <c r="AL52" s="31">
        <f t="shared" si="229"/>
        <v>0.39111940286972469</v>
      </c>
      <c r="AM52" s="31">
        <f t="shared" si="230"/>
        <v>0.22222222222222232</v>
      </c>
      <c r="AO52" s="10"/>
      <c r="AP52" s="31">
        <f t="shared" si="234"/>
        <v>0.88239711625112571</v>
      </c>
      <c r="AQ52" s="31">
        <f t="shared" si="234"/>
        <v>5.4001436208409981</v>
      </c>
      <c r="AR52" s="31">
        <f t="shared" si="234"/>
        <v>2.1794783887898395</v>
      </c>
      <c r="AS52" s="31">
        <f t="shared" si="234"/>
        <v>5.9287824636177655E-2</v>
      </c>
      <c r="AT52" s="31">
        <f t="shared" si="234"/>
        <v>0.38503864433882673</v>
      </c>
      <c r="AU52" s="31">
        <f t="shared" si="234"/>
        <v>0.28362951708618778</v>
      </c>
      <c r="AV52" s="31">
        <f t="shared" si="234"/>
        <v>0.8596035011159604</v>
      </c>
      <c r="AW52" s="31">
        <f t="shared" si="232"/>
        <v>0.51830660284938568</v>
      </c>
      <c r="AX52" s="31">
        <f t="shared" si="232"/>
        <v>0.34575756380273481</v>
      </c>
    </row>
    <row r="53" spans="2:52" x14ac:dyDescent="0.2">
      <c r="B53" s="30" t="s">
        <v>91</v>
      </c>
      <c r="H53" s="10"/>
      <c r="I53" s="10"/>
      <c r="J53" s="10"/>
      <c r="K53" s="10"/>
      <c r="L53" s="28">
        <f t="shared" si="233"/>
        <v>3.0575556758801801</v>
      </c>
      <c r="M53" s="28">
        <f t="shared" si="226"/>
        <v>1.1028074647716295</v>
      </c>
      <c r="N53" s="28">
        <f t="shared" si="226"/>
        <v>1.3057927681372812</v>
      </c>
      <c r="O53" s="28">
        <f t="shared" si="226"/>
        <v>0.5916994462641032</v>
      </c>
      <c r="P53" s="28">
        <f t="shared" si="226"/>
        <v>0.56795487404823652</v>
      </c>
      <c r="Q53" s="28">
        <f t="shared" si="226"/>
        <v>0.55601633838921249</v>
      </c>
      <c r="R53" s="28">
        <f t="shared" si="226"/>
        <v>0.44556911701818436</v>
      </c>
      <c r="S53" s="28">
        <f t="shared" si="226"/>
        <v>0.59874908618791434</v>
      </c>
      <c r="T53" s="28">
        <f t="shared" si="226"/>
        <v>0.75747572654249917</v>
      </c>
      <c r="U53" s="28">
        <f t="shared" si="226"/>
        <v>0.16606317228287226</v>
      </c>
      <c r="V53" s="28">
        <f t="shared" si="226"/>
        <v>3.5560384137929946E-2</v>
      </c>
      <c r="W53" s="28">
        <f t="shared" si="226"/>
        <v>-0.23687775028567393</v>
      </c>
      <c r="X53" s="28">
        <f t="shared" si="226"/>
        <v>-0.11188289236113957</v>
      </c>
      <c r="Y53" s="28">
        <f t="shared" si="226"/>
        <v>8.125301678271013E-2</v>
      </c>
      <c r="Z53" s="28">
        <f t="shared" si="226"/>
        <v>0.35048122034215945</v>
      </c>
      <c r="AA53" s="28">
        <f t="shared" si="226"/>
        <v>0.56678334703576994</v>
      </c>
      <c r="AB53" s="28">
        <f t="shared" si="226"/>
        <v>0.39492110168046413</v>
      </c>
      <c r="AC53" s="28">
        <f t="shared" si="226"/>
        <v>0.4687162563500642</v>
      </c>
      <c r="AD53" s="28">
        <f t="shared" si="226"/>
        <v>0.51348208283405672</v>
      </c>
      <c r="AE53" s="28">
        <f t="shared" si="226"/>
        <v>0.51615054768251523</v>
      </c>
      <c r="AF53" s="28">
        <f t="shared" si="226"/>
        <v>0.41444672672143357</v>
      </c>
      <c r="AG53" s="28">
        <f t="shared" si="226"/>
        <v>0.49458499231950936</v>
      </c>
      <c r="AH53" s="28">
        <f t="shared" si="226"/>
        <v>0.37711083836162906</v>
      </c>
      <c r="AI53" s="28">
        <f t="shared" si="227"/>
        <v>0.47946507310785735</v>
      </c>
      <c r="AJ53" s="28">
        <f t="shared" si="227"/>
        <v>0.42980483804683312</v>
      </c>
      <c r="AK53" s="28">
        <f t="shared" si="228"/>
        <v>0.414806843118948</v>
      </c>
      <c r="AL53" s="28">
        <f t="shared" si="229"/>
        <v>0.30988066226201338</v>
      </c>
      <c r="AM53" s="28">
        <f t="shared" si="230"/>
        <v>0.14615787952654524</v>
      </c>
      <c r="AO53" s="10"/>
      <c r="AP53" s="28">
        <f t="shared" si="234"/>
        <v>6.1210461473812892</v>
      </c>
      <c r="AQ53" s="28">
        <f t="shared" si="234"/>
        <v>8.5063151252530567</v>
      </c>
      <c r="AR53" s="28">
        <f t="shared" si="234"/>
        <v>1.1026109807731821</v>
      </c>
      <c r="AS53" s="28">
        <f t="shared" si="234"/>
        <v>0.54366777726157567</v>
      </c>
      <c r="AT53" s="28">
        <f t="shared" si="234"/>
        <v>9.9411061666170975E-2</v>
      </c>
      <c r="AU53" s="28">
        <f t="shared" si="234"/>
        <v>0.20601774235258707</v>
      </c>
      <c r="AV53" s="28">
        <f t="shared" si="234"/>
        <v>0.4796316655535211</v>
      </c>
      <c r="AW53" s="28">
        <f t="shared" si="232"/>
        <v>0.44251736040149825</v>
      </c>
      <c r="AX53" s="28">
        <f t="shared" si="232"/>
        <v>0.30188989320527049</v>
      </c>
    </row>
    <row r="54" spans="2:52" x14ac:dyDescent="0.2">
      <c r="B54" s="4"/>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O54" s="10"/>
      <c r="AP54" s="10"/>
      <c r="AQ54" s="10"/>
      <c r="AR54" s="10"/>
      <c r="AS54" s="10"/>
      <c r="AT54" s="10"/>
      <c r="AU54" s="10"/>
      <c r="AV54" s="10"/>
    </row>
    <row r="55" spans="2:52" x14ac:dyDescent="0.2">
      <c r="B55" s="19" t="s">
        <v>94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O55" s="10"/>
      <c r="AP55" s="10"/>
      <c r="AQ55" s="10"/>
      <c r="AR55" s="10"/>
      <c r="AS55" s="10"/>
      <c r="AT55" s="10"/>
      <c r="AU55" s="10"/>
      <c r="AV55" s="10"/>
    </row>
    <row r="56" spans="2:52" ht="10.15" x14ac:dyDescent="0.2">
      <c r="B56" s="20" t="s">
        <v>88</v>
      </c>
      <c r="H56" s="29">
        <f>IFERROR(H44/H$16,"n/a")</f>
        <v>0.87841433362896559</v>
      </c>
      <c r="I56" s="29">
        <f t="shared" ref="I56:AD59" si="235">IFERROR(I44/I$16,"n/a")</f>
        <v>1.0846781486914581</v>
      </c>
      <c r="J56" s="29">
        <f t="shared" si="235"/>
        <v>0.90415215432962348</v>
      </c>
      <c r="K56" s="29">
        <f t="shared" si="235"/>
        <v>1.03151935948179</v>
      </c>
      <c r="L56" s="29">
        <f t="shared" si="235"/>
        <v>1.032546393957235</v>
      </c>
      <c r="M56" s="29">
        <f t="shared" si="235"/>
        <v>0.80868553230668616</v>
      </c>
      <c r="N56" s="29">
        <f t="shared" si="235"/>
        <v>0.8903105265035105</v>
      </c>
      <c r="O56" s="29">
        <f t="shared" si="235"/>
        <v>0.83715476516312937</v>
      </c>
      <c r="P56" s="29">
        <f t="shared" si="235"/>
        <v>1.0800731196584528</v>
      </c>
      <c r="Q56" s="29">
        <f t="shared" si="235"/>
        <v>0.72695915753837248</v>
      </c>
      <c r="R56" s="29">
        <f t="shared" si="235"/>
        <v>0.68519960404740909</v>
      </c>
      <c r="S56" s="29">
        <f t="shared" si="235"/>
        <v>0.54376258983402292</v>
      </c>
      <c r="T56" s="29">
        <f t="shared" si="235"/>
        <v>0.57282750440190666</v>
      </c>
      <c r="U56" s="29">
        <f t="shared" si="235"/>
        <v>0.43409865045113682</v>
      </c>
      <c r="V56" s="29">
        <f t="shared" si="235"/>
        <v>0.449456698991963</v>
      </c>
      <c r="W56" s="29">
        <f t="shared" si="235"/>
        <v>0.39739237781014769</v>
      </c>
      <c r="X56" s="29">
        <f t="shared" si="235"/>
        <v>0.45045402585534344</v>
      </c>
      <c r="Y56" s="29">
        <f t="shared" si="235"/>
        <v>0.34446681964586795</v>
      </c>
      <c r="Z56" s="29">
        <f t="shared" si="235"/>
        <v>0.37855573791842256</v>
      </c>
      <c r="AA56" s="29">
        <f t="shared" si="235"/>
        <v>0.43186393540456586</v>
      </c>
      <c r="AB56" s="29">
        <f t="shared" si="235"/>
        <v>0.41902633176617188</v>
      </c>
      <c r="AC56" s="29">
        <f t="shared" si="235"/>
        <v>0.31661526724904543</v>
      </c>
      <c r="AD56" s="29">
        <f t="shared" si="235"/>
        <v>0.30917176492264981</v>
      </c>
      <c r="AE56" s="29">
        <f t="shared" ref="AE56:AI56" si="236">IFERROR(AE44/AE$16,"n/a")</f>
        <v>0.29508517429972358</v>
      </c>
      <c r="AF56" s="29">
        <f t="shared" si="236"/>
        <v>0.26192536223567736</v>
      </c>
      <c r="AG56" s="29">
        <f t="shared" ref="AG56:AH56" si="237">IFERROR(AG44/AG$16,"n/a")</f>
        <v>0.26180983709884192</v>
      </c>
      <c r="AH56" s="29">
        <f t="shared" si="237"/>
        <v>0.30027551572677691</v>
      </c>
      <c r="AI56" s="29">
        <f t="shared" si="236"/>
        <v>0.36045083931429361</v>
      </c>
      <c r="AJ56" s="29">
        <f t="shared" ref="AJ56:AM56" si="238">IFERROR(AJ44/AJ$16,"n/a")</f>
        <v>0.34376001438308673</v>
      </c>
      <c r="AK56" s="29">
        <f t="shared" si="238"/>
        <v>0.32510985383038049</v>
      </c>
      <c r="AL56" s="29">
        <f t="shared" si="238"/>
        <v>0.32762442804005687</v>
      </c>
      <c r="AM56" s="29">
        <f t="shared" si="238"/>
        <v>0.3411782129751087</v>
      </c>
      <c r="AO56" s="29">
        <f t="shared" ref="AO56:AU56" si="239">IFERROR(AO44/AO$16,"n/a")</f>
        <v>0.33360865500411996</v>
      </c>
      <c r="AP56" s="29">
        <f t="shared" si="239"/>
        <v>0.76998192739307225</v>
      </c>
      <c r="AQ56" s="29">
        <f t="shared" si="239"/>
        <v>0.99359892804796335</v>
      </c>
      <c r="AR56" s="29">
        <f t="shared" si="239"/>
        <v>0.87298409263441579</v>
      </c>
      <c r="AS56" s="29">
        <f t="shared" si="239"/>
        <v>0.67405941972066263</v>
      </c>
      <c r="AT56" s="29">
        <f t="shared" si="239"/>
        <v>0.45970760023590868</v>
      </c>
      <c r="AU56" s="29">
        <f t="shared" si="239"/>
        <v>0.39970899738352239</v>
      </c>
      <c r="AV56" s="29">
        <f t="shared" ref="AV56" si="240">IFERROR(AV44/AV$16,"n/a")</f>
        <v>0.3223834166322736</v>
      </c>
      <c r="AW56" s="29">
        <f t="shared" ref="AW56:AX56" si="241">IFERROR(AW44/AW$16,"n/a")</f>
        <v>0.29912761469082916</v>
      </c>
      <c r="AX56" s="29">
        <f t="shared" si="241"/>
        <v>0.33429794315020073</v>
      </c>
    </row>
    <row r="57" spans="2:52" ht="10.15" x14ac:dyDescent="0.2">
      <c r="B57" s="20" t="s">
        <v>89</v>
      </c>
      <c r="H57" s="29">
        <f t="shared" ref="H57:W59" si="242">IFERROR(H45/H$16,"n/a")</f>
        <v>4.7477112589592405E-2</v>
      </c>
      <c r="I57" s="29">
        <f t="shared" si="242"/>
        <v>6.2400933760445552E-2</v>
      </c>
      <c r="J57" s="29">
        <f t="shared" si="242"/>
        <v>8.8466198436848581E-2</v>
      </c>
      <c r="K57" s="29">
        <f t="shared" si="242"/>
        <v>7.9030803750034045E-2</v>
      </c>
      <c r="L57" s="29">
        <f t="shared" si="242"/>
        <v>0.1183344025922709</v>
      </c>
      <c r="M57" s="29">
        <f t="shared" si="242"/>
        <v>8.3792500639231118E-2</v>
      </c>
      <c r="N57" s="29">
        <f t="shared" si="242"/>
        <v>0.11877271442389539</v>
      </c>
      <c r="O57" s="29">
        <f t="shared" si="242"/>
        <v>8.7358467175021395E-2</v>
      </c>
      <c r="P57" s="29">
        <f t="shared" si="242"/>
        <v>0.17186987611639032</v>
      </c>
      <c r="Q57" s="29">
        <f t="shared" si="242"/>
        <v>0.10376177438211019</v>
      </c>
      <c r="R57" s="29">
        <f t="shared" si="242"/>
        <v>0.10026353676643315</v>
      </c>
      <c r="S57" s="29">
        <f t="shared" si="242"/>
        <v>5.8660391373131289E-2</v>
      </c>
      <c r="T57" s="29">
        <f t="shared" si="242"/>
        <v>7.8537611078472652E-2</v>
      </c>
      <c r="U57" s="29">
        <f t="shared" si="242"/>
        <v>7.6039150888952717E-2</v>
      </c>
      <c r="V57" s="29">
        <f t="shared" si="242"/>
        <v>8.6092850110189079E-2</v>
      </c>
      <c r="W57" s="29">
        <f t="shared" si="242"/>
        <v>4.7896610838099769E-2</v>
      </c>
      <c r="X57" s="29">
        <f t="shared" si="235"/>
        <v>8.5709239958545319E-2</v>
      </c>
      <c r="Y57" s="29">
        <f t="shared" si="235"/>
        <v>6.1978746018393129E-2</v>
      </c>
      <c r="Z57" s="29">
        <f t="shared" si="235"/>
        <v>5.9931860655541937E-2</v>
      </c>
      <c r="AA57" s="29">
        <f t="shared" si="235"/>
        <v>4.3881912890669013E-2</v>
      </c>
      <c r="AB57" s="29">
        <f t="shared" si="235"/>
        <v>5.2540196428784935E-2</v>
      </c>
      <c r="AC57" s="29">
        <f t="shared" si="235"/>
        <v>3.9914042545833507E-2</v>
      </c>
      <c r="AD57" s="29">
        <f t="shared" si="235"/>
        <v>3.2218434732142857E-2</v>
      </c>
      <c r="AE57" s="29">
        <f t="shared" ref="AE57:AF57" si="243">IFERROR(AE45/AE$16,"n/a")</f>
        <v>2.6634433018985063E-2</v>
      </c>
      <c r="AF57" s="29">
        <f t="shared" si="243"/>
        <v>2.6179945806837728E-2</v>
      </c>
      <c r="AG57" s="29">
        <f t="shared" ref="AG57:AH57" si="244">IFERROR(AG45/AG$16,"n/a")</f>
        <v>2.4800367106657461E-2</v>
      </c>
      <c r="AH57" s="29">
        <f t="shared" si="244"/>
        <v>2.4546411386446785E-2</v>
      </c>
      <c r="AI57" s="29">
        <f t="shared" ref="AI57" si="245">IFERROR(AI45/AI$16,"n/a")</f>
        <v>2.5484594032400141E-2</v>
      </c>
      <c r="AJ57" s="29">
        <f t="shared" ref="AJ57:AM57" si="246">IFERROR(AJ45/AJ$16,"n/a")</f>
        <v>3.1462321187418978E-2</v>
      </c>
      <c r="AK57" s="29">
        <f t="shared" si="246"/>
        <v>2.8780918075307423E-2</v>
      </c>
      <c r="AL57" s="29">
        <f t="shared" si="246"/>
        <v>2.6867847299244976E-2</v>
      </c>
      <c r="AM57" s="29">
        <f t="shared" si="246"/>
        <v>2.4083932890685975E-2</v>
      </c>
      <c r="AO57" s="29">
        <f t="shared" ref="AO57:AU57" si="247">IFERROR(AO45/AO$16,"n/a")</f>
        <v>5.4812781263865115E-2</v>
      </c>
      <c r="AP57" s="29">
        <f t="shared" si="247"/>
        <v>7.0689580041236738E-2</v>
      </c>
      <c r="AQ57" s="29">
        <f t="shared" si="247"/>
        <v>7.4692358759419777E-2</v>
      </c>
      <c r="AR57" s="29">
        <f t="shared" si="247"/>
        <v>9.8998118432270646E-2</v>
      </c>
      <c r="AS57" s="29">
        <f t="shared" si="247"/>
        <v>9.0288529364476969E-2</v>
      </c>
      <c r="AT57" s="29">
        <f t="shared" si="247"/>
        <v>7.0773052870209949E-2</v>
      </c>
      <c r="AU57" s="29">
        <f t="shared" si="247"/>
        <v>6.0227383641405938E-2</v>
      </c>
      <c r="AV57" s="29">
        <f t="shared" ref="AV57" si="248">IFERROR(AV45/AV$16,"n/a")</f>
        <v>3.4927502694898409E-2</v>
      </c>
      <c r="AW57" s="29">
        <f t="shared" ref="AW57:AX57" si="249">IFERROR(AW45/AW$16,"n/a")</f>
        <v>2.5232089996494192E-2</v>
      </c>
      <c r="AX57" s="29">
        <f t="shared" si="249"/>
        <v>2.7480492890050959E-2</v>
      </c>
    </row>
    <row r="58" spans="2:52" ht="12" x14ac:dyDescent="0.35">
      <c r="B58" s="20" t="s">
        <v>90</v>
      </c>
      <c r="H58" s="32">
        <f t="shared" si="242"/>
        <v>1.7141363162319335E-2</v>
      </c>
      <c r="I58" s="32">
        <f t="shared" si="235"/>
        <v>1.1061827669223645E-2</v>
      </c>
      <c r="J58" s="32">
        <f t="shared" si="235"/>
        <v>1.2094289616530345E-2</v>
      </c>
      <c r="K58" s="32">
        <f t="shared" si="235"/>
        <v>1.1662346951372778E-2</v>
      </c>
      <c r="L58" s="32">
        <f t="shared" si="235"/>
        <v>1.4756653386734679E-2</v>
      </c>
      <c r="M58" s="32">
        <f t="shared" si="235"/>
        <v>1.2523443046976083E-2</v>
      </c>
      <c r="N58" s="32">
        <f t="shared" si="235"/>
        <v>3.0682139402614977E-2</v>
      </c>
      <c r="O58" s="32">
        <f t="shared" si="235"/>
        <v>1.1225986835948583E-2</v>
      </c>
      <c r="P58" s="32">
        <f t="shared" si="235"/>
        <v>1.8053040035260346E-2</v>
      </c>
      <c r="Q58" s="32">
        <f t="shared" si="235"/>
        <v>1.1196791028526698E-2</v>
      </c>
      <c r="R58" s="32">
        <f t="shared" si="235"/>
        <v>9.331599879575915E-3</v>
      </c>
      <c r="S58" s="32">
        <f t="shared" si="235"/>
        <v>5.766975975215036E-3</v>
      </c>
      <c r="T58" s="32">
        <f t="shared" si="235"/>
        <v>7.2488059894531102E-3</v>
      </c>
      <c r="U58" s="32">
        <f t="shared" si="235"/>
        <v>9.276401943572524E-3</v>
      </c>
      <c r="V58" s="32">
        <f t="shared" si="235"/>
        <v>8.2803405487962799E-3</v>
      </c>
      <c r="W58" s="32">
        <f t="shared" si="235"/>
        <v>7.1906280454874924E-3</v>
      </c>
      <c r="X58" s="32">
        <f t="shared" si="235"/>
        <v>8.7761506843264236E-3</v>
      </c>
      <c r="Y58" s="32">
        <f t="shared" si="235"/>
        <v>5.2387170205392131E-3</v>
      </c>
      <c r="Z58" s="32">
        <f t="shared" si="235"/>
        <v>6.3744665998803993E-3</v>
      </c>
      <c r="AA58" s="32">
        <f t="shared" si="235"/>
        <v>9.0599383807565357E-3</v>
      </c>
      <c r="AB58" s="32">
        <f t="shared" si="235"/>
        <v>8.9895462051356317E-3</v>
      </c>
      <c r="AC58" s="32">
        <f t="shared" si="235"/>
        <v>7.0816507828082341E-3</v>
      </c>
      <c r="AD58" s="32">
        <f t="shared" si="235"/>
        <v>5.8583647086968785E-3</v>
      </c>
      <c r="AE58" s="32">
        <f t="shared" ref="AE58:AF58" si="250">IFERROR(AE46/AE$16,"n/a")</f>
        <v>7.5886154162289488E-3</v>
      </c>
      <c r="AF58" s="32">
        <f t="shared" si="250"/>
        <v>6.5852256769995494E-3</v>
      </c>
      <c r="AG58" s="32">
        <f t="shared" ref="AG58:AH58" si="251">IFERROR(AG46/AG$16,"n/a")</f>
        <v>6.1157208765000104E-3</v>
      </c>
      <c r="AH58" s="32">
        <f t="shared" si="251"/>
        <v>6.511649141742599E-3</v>
      </c>
      <c r="AI58" s="32">
        <f t="shared" ref="AI58" si="252">IFERROR(AI46/AI$16,"n/a")</f>
        <v>8.191476653271473E-3</v>
      </c>
      <c r="AJ58" s="32">
        <f t="shared" ref="AJ58:AM58" si="253">IFERROR(AJ46/AJ$16,"n/a")</f>
        <v>8.38995231664506E-3</v>
      </c>
      <c r="AK58" s="32">
        <f t="shared" si="253"/>
        <v>7.644931363753534E-3</v>
      </c>
      <c r="AL58" s="32">
        <f t="shared" si="253"/>
        <v>7.55658205291265E-3</v>
      </c>
      <c r="AM58" s="32">
        <f t="shared" si="253"/>
        <v>8.2788519311733037E-3</v>
      </c>
      <c r="AO58" s="32">
        <f t="shared" ref="AO58:AU58" si="254">IFERROR(AO46/AO$16,"n/a")</f>
        <v>2.6375419915066232E-2</v>
      </c>
      <c r="AP58" s="32">
        <f t="shared" si="254"/>
        <v>1.4372080115774762E-2</v>
      </c>
      <c r="AQ58" s="32">
        <f t="shared" si="254"/>
        <v>1.2227600783232331E-2</v>
      </c>
      <c r="AR58" s="32">
        <f t="shared" si="254"/>
        <v>1.6922331933708464E-2</v>
      </c>
      <c r="AS58" s="32">
        <f t="shared" si="254"/>
        <v>9.0821156808582101E-3</v>
      </c>
      <c r="AT58" s="32">
        <f t="shared" si="254"/>
        <v>7.9654442351474002E-3</v>
      </c>
      <c r="AU58" s="32">
        <f t="shared" si="254"/>
        <v>7.3577339115844095E-3</v>
      </c>
      <c r="AV58" s="32">
        <f t="shared" ref="AV58" si="255">IFERROR(AV46/AV$16,"n/a")</f>
        <v>7.2135185541400849E-3</v>
      </c>
      <c r="AW58" s="32">
        <f t="shared" ref="AW58:AX58" si="256">IFERROR(AW46/AW$16,"n/a")</f>
        <v>6.8996504415193022E-3</v>
      </c>
      <c r="AX58" s="32">
        <f t="shared" si="256"/>
        <v>7.9606189721179357E-3</v>
      </c>
    </row>
    <row r="59" spans="2:52" x14ac:dyDescent="0.2">
      <c r="B59" s="30" t="s">
        <v>91</v>
      </c>
      <c r="H59" s="29">
        <f t="shared" si="242"/>
        <v>0.9430328093808773</v>
      </c>
      <c r="I59" s="29">
        <f t="shared" si="235"/>
        <v>1.1581409101211271</v>
      </c>
      <c r="J59" s="29">
        <f t="shared" si="235"/>
        <v>1.0047126423830024</v>
      </c>
      <c r="K59" s="29">
        <f t="shared" si="235"/>
        <v>1.1222125101831966</v>
      </c>
      <c r="L59" s="29">
        <f t="shared" si="235"/>
        <v>1.1656374499362407</v>
      </c>
      <c r="M59" s="29">
        <f t="shared" si="235"/>
        <v>0.90500147599289338</v>
      </c>
      <c r="N59" s="29">
        <f t="shared" si="235"/>
        <v>1.0397653803300209</v>
      </c>
      <c r="O59" s="29">
        <f t="shared" si="235"/>
        <v>0.93573921917409919</v>
      </c>
      <c r="P59" s="29">
        <f t="shared" si="235"/>
        <v>1.2699960358101037</v>
      </c>
      <c r="Q59" s="29">
        <f t="shared" si="235"/>
        <v>0.84191772294900946</v>
      </c>
      <c r="R59" s="29">
        <f t="shared" si="235"/>
        <v>0.79479474069341816</v>
      </c>
      <c r="S59" s="29">
        <f t="shared" si="235"/>
        <v>0.60818995718236923</v>
      </c>
      <c r="T59" s="29">
        <f t="shared" si="235"/>
        <v>0.65861392146983244</v>
      </c>
      <c r="U59" s="29">
        <f t="shared" si="235"/>
        <v>0.51941420328366206</v>
      </c>
      <c r="V59" s="29">
        <f t="shared" si="235"/>
        <v>0.54382988965094836</v>
      </c>
      <c r="W59" s="29">
        <f t="shared" si="235"/>
        <v>0.45247961669373493</v>
      </c>
      <c r="X59" s="29">
        <f t="shared" si="235"/>
        <v>0.5449394164982152</v>
      </c>
      <c r="Y59" s="29">
        <f t="shared" si="235"/>
        <v>0.41168428268480028</v>
      </c>
      <c r="Z59" s="29">
        <f t="shared" si="235"/>
        <v>0.44486206517384491</v>
      </c>
      <c r="AA59" s="29">
        <f t="shared" si="235"/>
        <v>0.48480578667599139</v>
      </c>
      <c r="AB59" s="29">
        <f t="shared" si="235"/>
        <v>0.4805560744000924</v>
      </c>
      <c r="AC59" s="29">
        <f t="shared" si="235"/>
        <v>0.36361096057768721</v>
      </c>
      <c r="AD59" s="29">
        <f t="shared" si="235"/>
        <v>0.34724856436348955</v>
      </c>
      <c r="AE59" s="29">
        <f t="shared" ref="AE59:AF59" si="257">IFERROR(AE47/AE$16,"n/a")</f>
        <v>0.32930822273493754</v>
      </c>
      <c r="AF59" s="29">
        <f t="shared" si="257"/>
        <v>0.29469053371951465</v>
      </c>
      <c r="AG59" s="29">
        <f t="shared" ref="AG59:AH59" si="258">IFERROR(AG47/AG$16,"n/a")</f>
        <v>0.29272592508199941</v>
      </c>
      <c r="AH59" s="29">
        <f t="shared" si="258"/>
        <v>0.33133357625496629</v>
      </c>
      <c r="AI59" s="29">
        <f t="shared" ref="AI59" si="259">IFERROR(AI47/AI$16,"n/a")</f>
        <v>0.39412690999996519</v>
      </c>
      <c r="AJ59" s="29">
        <f t="shared" ref="AJ59:AM59" si="260">IFERROR(AJ47/AJ$16,"n/a")</f>
        <v>0.38361228788715079</v>
      </c>
      <c r="AK59" s="29">
        <f t="shared" si="260"/>
        <v>0.36153570326944146</v>
      </c>
      <c r="AL59" s="29">
        <f t="shared" si="260"/>
        <v>0.36204885739221448</v>
      </c>
      <c r="AM59" s="29">
        <f t="shared" si="260"/>
        <v>0.37354099779696798</v>
      </c>
      <c r="AO59" s="29">
        <f t="shared" ref="AO59:AU59" si="261">IFERROR(AO47/AO$16,"n/a")</f>
        <v>0.41479685618305129</v>
      </c>
      <c r="AP59" s="29">
        <f t="shared" si="261"/>
        <v>0.85504358755008381</v>
      </c>
      <c r="AQ59" s="29">
        <f t="shared" si="261"/>
        <v>1.0805188875906155</v>
      </c>
      <c r="AR59" s="29">
        <f t="shared" si="261"/>
        <v>0.98890454300039488</v>
      </c>
      <c r="AS59" s="29">
        <f t="shared" si="261"/>
        <v>0.77343006476599774</v>
      </c>
      <c r="AT59" s="29">
        <f t="shared" si="261"/>
        <v>0.53844609734126603</v>
      </c>
      <c r="AU59" s="29">
        <f t="shared" si="261"/>
        <v>0.46729411493651274</v>
      </c>
      <c r="AV59" s="29">
        <f t="shared" ref="AV59" si="262">IFERROR(AV47/AV$16,"n/a")</f>
        <v>0.36452443788131206</v>
      </c>
      <c r="AW59" s="29">
        <f t="shared" ref="AW59:AX59" si="263">IFERROR(AW47/AW$16,"n/a")</f>
        <v>0.33125935512884258</v>
      </c>
      <c r="AX59" s="29">
        <f t="shared" si="263"/>
        <v>0.36973905501236964</v>
      </c>
    </row>
    <row r="60" spans="2:52" x14ac:dyDescent="0.2">
      <c r="AG60" s="42"/>
      <c r="AH60" s="220"/>
    </row>
    <row r="61" spans="2:52" s="1" customFormat="1" x14ac:dyDescent="0.2">
      <c r="B61" s="1" t="s">
        <v>93</v>
      </c>
      <c r="H61" s="42">
        <f t="shared" ref="H61:AI61" si="264">IFERROR(H40-H47,"n/a")</f>
        <v>-239.52300000000037</v>
      </c>
      <c r="I61" s="42">
        <f t="shared" si="264"/>
        <v>-815.72999999999911</v>
      </c>
      <c r="J61" s="42">
        <f t="shared" si="264"/>
        <v>-790.01800000000003</v>
      </c>
      <c r="K61" s="42">
        <f t="shared" si="264"/>
        <v>-2112.896999999999</v>
      </c>
      <c r="L61" s="42">
        <f t="shared" si="264"/>
        <v>-1621.8890000000006</v>
      </c>
      <c r="M61" s="42">
        <f t="shared" si="264"/>
        <v>-898.43800000000101</v>
      </c>
      <c r="N61" s="42">
        <f t="shared" si="264"/>
        <v>-2123.5460000000003</v>
      </c>
      <c r="O61" s="42">
        <f t="shared" si="264"/>
        <v>-1336.6319999999996</v>
      </c>
      <c r="P61" s="42">
        <f t="shared" si="264"/>
        <v>-3587.8600000000006</v>
      </c>
      <c r="Q61" s="42">
        <f t="shared" si="264"/>
        <v>-725.07100000000173</v>
      </c>
      <c r="R61" s="42">
        <f t="shared" si="264"/>
        <v>-339.80900000000111</v>
      </c>
      <c r="S61" s="42">
        <f t="shared" si="264"/>
        <v>-1114.5419999999976</v>
      </c>
      <c r="T61" s="42">
        <f t="shared" si="264"/>
        <v>-3174.1470000000008</v>
      </c>
      <c r="U61" s="42">
        <f t="shared" si="264"/>
        <v>3185.2420000000002</v>
      </c>
      <c r="V61" s="42">
        <f t="shared" si="264"/>
        <v>3260.7249999999985</v>
      </c>
      <c r="W61" s="42">
        <f t="shared" si="264"/>
        <v>8399.6720000000132</v>
      </c>
      <c r="X61" s="42">
        <f t="shared" si="264"/>
        <v>3677.1559999999972</v>
      </c>
      <c r="Y61" s="42">
        <f t="shared" si="264"/>
        <v>10541.514999999998</v>
      </c>
      <c r="Z61" s="42">
        <f t="shared" si="264"/>
        <v>12301.494999999999</v>
      </c>
      <c r="AA61" s="42">
        <f t="shared" si="264"/>
        <v>11600.119999999992</v>
      </c>
      <c r="AB61" s="42">
        <f t="shared" si="264"/>
        <v>8462.4200000000019</v>
      </c>
      <c r="AC61" s="42">
        <f t="shared" si="264"/>
        <v>14609.383999999995</v>
      </c>
      <c r="AD61" s="42">
        <f t="shared" si="264"/>
        <v>18125.839999999997</v>
      </c>
      <c r="AE61" s="42">
        <f t="shared" si="264"/>
        <v>24579.911999999997</v>
      </c>
      <c r="AF61" s="42">
        <f t="shared" ref="AF61:AG61" si="265">IFERROR(AF40-AF47,"n/a")</f>
        <v>28552.195000000011</v>
      </c>
      <c r="AG61" s="42">
        <f t="shared" si="265"/>
        <v>34987.298000000003</v>
      </c>
      <c r="AH61" s="42">
        <f t="shared" ref="AH61" si="266">IFERROR(AH40-AH47,"n/a")</f>
        <v>26770.462999999996</v>
      </c>
      <c r="AI61" s="42">
        <f t="shared" si="264"/>
        <v>24721.92374780323</v>
      </c>
      <c r="AJ61" s="42">
        <f t="shared" ref="AJ61:AM61" si="267">IFERROR(AJ40-AJ47,"n/a")</f>
        <v>20816.50867608509</v>
      </c>
      <c r="AK61" s="42">
        <f t="shared" si="267"/>
        <v>25473.776000909937</v>
      </c>
      <c r="AL61" s="42">
        <f t="shared" si="267"/>
        <v>27272.444335581255</v>
      </c>
      <c r="AM61" s="42">
        <f t="shared" si="267"/>
        <v>30438.788990570567</v>
      </c>
      <c r="AO61" s="42">
        <f t="shared" ref="AO61:AV61" si="268">IFERROR(AO40-AO47,"n/a")</f>
        <v>-282.14500000000004</v>
      </c>
      <c r="AP61" s="42">
        <f t="shared" si="268"/>
        <v>-469.21899999999994</v>
      </c>
      <c r="AQ61" s="42">
        <f t="shared" si="268"/>
        <v>-3958.1679999999997</v>
      </c>
      <c r="AR61" s="42">
        <f t="shared" si="268"/>
        <v>-5980.505000000001</v>
      </c>
      <c r="AS61" s="42">
        <f t="shared" si="268"/>
        <v>-5767.2819999999992</v>
      </c>
      <c r="AT61" s="42">
        <f t="shared" si="268"/>
        <v>11671.491999999998</v>
      </c>
      <c r="AU61" s="42">
        <f t="shared" si="268"/>
        <v>38120.286000000015</v>
      </c>
      <c r="AV61" s="42">
        <f t="shared" si="268"/>
        <v>65777.555999999997</v>
      </c>
      <c r="AW61" s="42">
        <f>+SUM(AF61:AI61)</f>
        <v>115031.87974780324</v>
      </c>
      <c r="AX61" s="42">
        <f>+SUM(AJ61:AM61)</f>
        <v>104001.51800314685</v>
      </c>
      <c r="AZ61" s="207"/>
    </row>
    <row r="62" spans="2:52" x14ac:dyDescent="0.2">
      <c r="B62" s="20" t="s">
        <v>85</v>
      </c>
      <c r="L62" s="28">
        <f>IFERROR(L61/H61-1,"n/a")</f>
        <v>5.7713288494215504</v>
      </c>
      <c r="M62" s="28">
        <f t="shared" ref="M62" si="269">IFERROR(M61/I61-1,"n/a")</f>
        <v>0.10139139175953082</v>
      </c>
      <c r="N62" s="28">
        <f t="shared" ref="N62" si="270">IFERROR(N61/J61-1,"n/a")</f>
        <v>1.6879716664683593</v>
      </c>
      <c r="O62" s="28">
        <f t="shared" ref="O62" si="271">IFERROR(O61/K61-1,"n/a")</f>
        <v>-0.36739367796915789</v>
      </c>
      <c r="P62" s="28">
        <f t="shared" ref="P62" si="272">IFERROR(P61/L61-1,"n/a")</f>
        <v>1.2121489201788775</v>
      </c>
      <c r="Q62" s="28">
        <f t="shared" ref="Q62" si="273">IFERROR(Q61/M61-1,"n/a")</f>
        <v>-0.19296490130648869</v>
      </c>
      <c r="R62" s="28">
        <f t="shared" ref="R62" si="274">IFERROR(R61/N61-1,"n/a")</f>
        <v>-0.83998039128890967</v>
      </c>
      <c r="S62" s="28">
        <f t="shared" ref="S62" si="275">IFERROR(S61/O61-1,"n/a")</f>
        <v>-0.16615642899466876</v>
      </c>
      <c r="T62" s="28">
        <f t="shared" ref="T62" si="276">IFERROR(T61/P61-1,"n/a")</f>
        <v>-0.11530912577413821</v>
      </c>
      <c r="U62" s="28">
        <f t="shared" ref="U62" si="277">IFERROR(U61/Q61-1,"n/a")</f>
        <v>-5.3930070296563954</v>
      </c>
      <c r="V62" s="28">
        <f t="shared" ref="V62" si="278">IFERROR(V61/R61-1,"n/a")</f>
        <v>-10.595758205344731</v>
      </c>
      <c r="W62" s="28">
        <f t="shared" ref="W62" si="279">IFERROR(W61/S61-1,"n/a")</f>
        <v>-8.5364337997132722</v>
      </c>
      <c r="X62" s="28">
        <f t="shared" ref="X62" si="280">IFERROR(X61/T61-1,"n/a")</f>
        <v>-2.1584706064337906</v>
      </c>
      <c r="Y62" s="28">
        <f t="shared" ref="Y62" si="281">IFERROR(Y61/U61-1,"n/a")</f>
        <v>2.3094863749755894</v>
      </c>
      <c r="Z62" s="28">
        <f t="shared" ref="Z62" si="282">IFERROR(Z61/V61-1,"n/a")</f>
        <v>2.7726257197402431</v>
      </c>
      <c r="AA62" s="28">
        <f t="shared" ref="AA62" si="283">IFERROR(AA61/W61-1,"n/a")</f>
        <v>0.38102059223264595</v>
      </c>
      <c r="AB62" s="28">
        <f t="shared" ref="AB62" si="284">IFERROR(AB61/X61-1,"n/a")</f>
        <v>1.3013491948669049</v>
      </c>
      <c r="AC62" s="28">
        <f t="shared" ref="AC62" si="285">IFERROR(AC61/Y61-1,"n/a")</f>
        <v>0.38589035826444285</v>
      </c>
      <c r="AD62" s="28">
        <f t="shared" ref="AD62:AH62" si="286">IFERROR(AD61/Z61-1,"n/a")</f>
        <v>0.47346643639655173</v>
      </c>
      <c r="AE62" s="28">
        <f t="shared" si="286"/>
        <v>1.1189360110067841</v>
      </c>
      <c r="AF62" s="28">
        <f t="shared" si="286"/>
        <v>2.3739988088513693</v>
      </c>
      <c r="AG62" s="28">
        <f t="shared" si="286"/>
        <v>1.3948510080917864</v>
      </c>
      <c r="AH62" s="28">
        <f t="shared" si="286"/>
        <v>0.47692261434504557</v>
      </c>
      <c r="AI62" s="28">
        <f t="shared" ref="AI62:AJ62" si="287">IFERROR(AI61/AE61-1,"n/a")</f>
        <v>5.7775531419004267E-3</v>
      </c>
      <c r="AJ62" s="28">
        <f t="shared" si="287"/>
        <v>-0.2709314055859775</v>
      </c>
      <c r="AK62" s="28">
        <f t="shared" ref="AK62" si="288">IFERROR(AK61/AG61-1,"n/a")</f>
        <v>-0.27191359558803496</v>
      </c>
      <c r="AL62" s="28">
        <f t="shared" ref="AL62" si="289">IFERROR(AL61/AH61-1,"n/a")</f>
        <v>1.8751313176064821E-2</v>
      </c>
      <c r="AM62" s="28">
        <f t="shared" ref="AM62" si="290">IFERROR(AM61/AI61-1,"n/a")</f>
        <v>0.23124677921860082</v>
      </c>
      <c r="AP62" s="28">
        <f>IFERROR(AP61/AO61-1,"n/a")</f>
        <v>0.66304205284516771</v>
      </c>
      <c r="AQ62" s="28">
        <f t="shared" ref="AQ62" si="291">IFERROR(AQ61/AP61-1,"n/a")</f>
        <v>7.4356515827364191</v>
      </c>
      <c r="AR62" s="28">
        <f t="shared" ref="AR62" si="292">IFERROR(AR61/AQ61-1,"n/a")</f>
        <v>0.51092753010988967</v>
      </c>
      <c r="AS62" s="28">
        <f t="shared" ref="AS62" si="293">IFERROR(AS61/AR61-1,"n/a")</f>
        <v>-3.565300923584247E-2</v>
      </c>
      <c r="AT62" s="28">
        <f t="shared" ref="AT62" si="294">IFERROR(AT61/AS61-1,"n/a")</f>
        <v>-3.0237422064674484</v>
      </c>
      <c r="AU62" s="28">
        <f t="shared" ref="AU62:AV62" si="295">IFERROR(AU61/AT61-1,"n/a")</f>
        <v>2.2661022258336825</v>
      </c>
      <c r="AV62" s="28">
        <f t="shared" si="295"/>
        <v>0.72552629851727701</v>
      </c>
      <c r="AW62" s="28">
        <f t="shared" ref="AW62:AX62" si="296">IFERROR(AW61/AV61-1,"n/a")</f>
        <v>0.74880136543539622</v>
      </c>
      <c r="AX62" s="28">
        <f t="shared" si="296"/>
        <v>-9.5889607027542567E-2</v>
      </c>
    </row>
    <row r="63" spans="2:52" x14ac:dyDescent="0.2">
      <c r="B63" s="20" t="s">
        <v>87</v>
      </c>
      <c r="H63" s="29">
        <f t="shared" ref="H63:AI63" si="297">IFERROR(H61/H16,"n/a")</f>
        <v>-0.17299025569765825</v>
      </c>
      <c r="I63" s="29">
        <f t="shared" si="297"/>
        <v>-0.30111338087282352</v>
      </c>
      <c r="J63" s="29">
        <f t="shared" si="297"/>
        <v>-0.23425862393095992</v>
      </c>
      <c r="K63" s="29">
        <f t="shared" si="297"/>
        <v>-0.37370466023408161</v>
      </c>
      <c r="L63" s="29">
        <f t="shared" si="297"/>
        <v>-0.35683524875891176</v>
      </c>
      <c r="M63" s="29">
        <f t="shared" si="297"/>
        <v>-0.12324238876006735</v>
      </c>
      <c r="N63" s="29">
        <f t="shared" si="297"/>
        <v>-0.28261388021317158</v>
      </c>
      <c r="O63" s="29">
        <f t="shared" si="297"/>
        <v>-0.12384563455052963</v>
      </c>
      <c r="P63" s="29">
        <f t="shared" si="297"/>
        <v>-0.54851362753340105</v>
      </c>
      <c r="Q63" s="29">
        <f t="shared" si="297"/>
        <v>-5.946463287465318E-2</v>
      </c>
      <c r="R63" s="29">
        <f t="shared" si="297"/>
        <v>-2.3913737733626112E-2</v>
      </c>
      <c r="S63" s="29">
        <f t="shared" si="297"/>
        <v>-4.1982605730686497E-2</v>
      </c>
      <c r="T63" s="29">
        <f t="shared" si="297"/>
        <v>-0.14319180872517423</v>
      </c>
      <c r="U63" s="29">
        <f t="shared" si="297"/>
        <v>0.13821103851304031</v>
      </c>
      <c r="V63" s="29">
        <f t="shared" si="297"/>
        <v>0.15162102168172814</v>
      </c>
      <c r="W63" s="29">
        <f t="shared" si="297"/>
        <v>0.30846148021314973</v>
      </c>
      <c r="X63" s="29">
        <f t="shared" si="297"/>
        <v>0.15454333289806374</v>
      </c>
      <c r="Y63" s="29">
        <f t="shared" si="297"/>
        <v>0.33529452440313423</v>
      </c>
      <c r="Z63" s="29">
        <f t="shared" si="297"/>
        <v>0.34647897899927854</v>
      </c>
      <c r="AA63" s="29">
        <f t="shared" si="297"/>
        <v>0.29131370776534848</v>
      </c>
      <c r="AB63" s="29">
        <f t="shared" si="297"/>
        <v>0.22484280781835986</v>
      </c>
      <c r="AC63" s="29">
        <f t="shared" si="297"/>
        <v>0.27944099040051978</v>
      </c>
      <c r="AD63" s="29">
        <f t="shared" si="297"/>
        <v>0.26330247406714291</v>
      </c>
      <c r="AE63" s="29">
        <f t="shared" si="297"/>
        <v>0.27654844167207948</v>
      </c>
      <c r="AF63" s="29">
        <f t="shared" ref="AF63:AG63" si="298">IFERROR(AF61/AF16,"n/a")</f>
        <v>0.32889664556856102</v>
      </c>
      <c r="AG63" s="29">
        <f t="shared" si="298"/>
        <v>0.36047256399786232</v>
      </c>
      <c r="AH63" s="29">
        <f t="shared" ref="AH63" si="299">IFERROR(AH61/AH16,"n/a")</f>
        <v>0.26944415879473721</v>
      </c>
      <c r="AI63" s="29">
        <f t="shared" si="297"/>
        <v>0.22501006800454196</v>
      </c>
      <c r="AJ63" s="29">
        <f t="shared" ref="AJ63:AM63" si="300">IFERROR(AJ61/AJ16,"n/a")</f>
        <v>0.21831189398922762</v>
      </c>
      <c r="AK63" s="29">
        <f t="shared" si="300"/>
        <v>0.22911208129716287</v>
      </c>
      <c r="AL63" s="29">
        <f t="shared" si="300"/>
        <v>0.22898495933923618</v>
      </c>
      <c r="AM63" s="29">
        <f t="shared" si="300"/>
        <v>0.22908929728832894</v>
      </c>
      <c r="AO63" s="29">
        <f t="shared" ref="AO63:AW63" si="301">IFERROR(AO61/AO16,"n/a")</f>
        <v>-0.55885347341066116</v>
      </c>
      <c r="AP63" s="29">
        <f t="shared" si="301"/>
        <v>-0.26903586770301285</v>
      </c>
      <c r="AQ63" s="29">
        <f t="shared" si="301"/>
        <v>-0.30168986409288417</v>
      </c>
      <c r="AR63" s="29">
        <f t="shared" si="301"/>
        <v>-0.19841177157925691</v>
      </c>
      <c r="AS63" s="29">
        <f t="shared" si="301"/>
        <v>-9.6942363464315645E-2</v>
      </c>
      <c r="AT63" s="29">
        <f t="shared" si="301"/>
        <v>0.1242309694314969</v>
      </c>
      <c r="AU63" s="29">
        <f t="shared" si="301"/>
        <v>0.29198062167033439</v>
      </c>
      <c r="AV63" s="29">
        <f t="shared" si="301"/>
        <v>0.26561850737648751</v>
      </c>
      <c r="AW63" s="29">
        <f t="shared" si="301"/>
        <v>0.29263028496166654</v>
      </c>
      <c r="AX63" s="29">
        <f t="shared" ref="AX63" si="302">IFERROR(AX61/AX16,"n/a")</f>
        <v>0.22682642666983996</v>
      </c>
    </row>
    <row r="64" spans="2:52" x14ac:dyDescent="0.2">
      <c r="B64" s="20" t="s">
        <v>467</v>
      </c>
      <c r="H64" s="29">
        <f t="shared" ref="H64:AM64" si="303">+IFERROR(H61/(H249*1000),"n/a")</f>
        <v>-6.0302870090634536E-3</v>
      </c>
      <c r="I64" s="29">
        <f t="shared" si="303"/>
        <v>-1.6488187639468299E-2</v>
      </c>
      <c r="J64" s="29">
        <f t="shared" si="303"/>
        <v>-1.1130713871089548E-2</v>
      </c>
      <c r="K64" s="29">
        <f t="shared" si="303"/>
        <v>-1.7207402882970915E-2</v>
      </c>
      <c r="L64" s="29">
        <f t="shared" si="303"/>
        <v>-1.7785274714670462E-2</v>
      </c>
      <c r="M64" s="29">
        <f t="shared" si="303"/>
        <v>-6.3945401022627709E-3</v>
      </c>
      <c r="N64" s="29">
        <f t="shared" si="303"/>
        <v>-1.4191373222023521E-2</v>
      </c>
      <c r="O64" s="29">
        <f t="shared" si="303"/>
        <v>-6.0038269774962925E-3</v>
      </c>
      <c r="P64" s="29">
        <f t="shared" si="303"/>
        <v>-2.5151731467249607E-2</v>
      </c>
      <c r="Q64" s="29">
        <f t="shared" si="303"/>
        <v>-2.9437936059291954E-3</v>
      </c>
      <c r="R64" s="29">
        <f t="shared" si="303"/>
        <v>-1.2921653806197101E-3</v>
      </c>
      <c r="S64" s="29">
        <f t="shared" si="303"/>
        <v>-3.1600059540264035E-3</v>
      </c>
      <c r="T64" s="29">
        <f t="shared" si="303"/>
        <v>-1.0214680716551044E-2</v>
      </c>
      <c r="U64" s="29">
        <f t="shared" si="303"/>
        <v>8.9154054354424646E-3</v>
      </c>
      <c r="V64" s="29">
        <f t="shared" si="303"/>
        <v>8.6170229543016084E-3</v>
      </c>
      <c r="W64" s="29">
        <f t="shared" si="303"/>
        <v>1.8837549175464104E-2</v>
      </c>
      <c r="X64" s="29">
        <f t="shared" si="303"/>
        <v>9.5892193713121524E-3</v>
      </c>
      <c r="Y64" s="29">
        <f t="shared" si="303"/>
        <v>2.4837352395907872E-2</v>
      </c>
      <c r="Z64" s="29">
        <f t="shared" si="303"/>
        <v>2.5809335731284716E-2</v>
      </c>
      <c r="AA64" s="29">
        <f t="shared" si="303"/>
        <v>2.1732979322133059E-2</v>
      </c>
      <c r="AB64" s="29">
        <f t="shared" si="303"/>
        <v>1.7456351072287067E-2</v>
      </c>
      <c r="AC64" s="29">
        <f t="shared" si="303"/>
        <v>2.5828176432322682E-2</v>
      </c>
      <c r="AD64" s="29">
        <f t="shared" si="303"/>
        <v>2.9621994682758741E-2</v>
      </c>
      <c r="AE64" s="29">
        <f t="shared" si="303"/>
        <v>3.4547331930419839E-2</v>
      </c>
      <c r="AF64" s="29">
        <f t="shared" si="303"/>
        <v>4.4713102557025243E-2</v>
      </c>
      <c r="AG64" s="29">
        <f t="shared" si="303"/>
        <v>4.9133407986817132E-2</v>
      </c>
      <c r="AH64" s="29">
        <f t="shared" si="303"/>
        <v>3.5474411830860295E-2</v>
      </c>
      <c r="AI64" s="29">
        <f t="shared" si="303"/>
        <v>2.8971935002955154E-2</v>
      </c>
      <c r="AJ64" s="29">
        <f t="shared" si="303"/>
        <v>2.8301839377637094E-2</v>
      </c>
      <c r="AK64" s="29">
        <f t="shared" si="303"/>
        <v>3.1024848395857542E-2</v>
      </c>
      <c r="AL64" s="29">
        <f t="shared" si="303"/>
        <v>3.1115472364760279E-2</v>
      </c>
      <c r="AM64" s="29">
        <f t="shared" si="303"/>
        <v>3.0713363789710388E-2</v>
      </c>
      <c r="AO64" s="44" t="str">
        <f t="shared" ref="AO64:AX64" si="304">+IFERROR(AO61/(AO249*1000),"n/a")</f>
        <v>n/a</v>
      </c>
      <c r="AP64" s="44">
        <f t="shared" si="304"/>
        <v>-5.5365465714211541E-3</v>
      </c>
      <c r="AQ64" s="44">
        <f t="shared" si="304"/>
        <v>-1.3988436528131181E-2</v>
      </c>
      <c r="AR64" s="44">
        <f t="shared" si="304"/>
        <v>-9.9021541161666352E-3</v>
      </c>
      <c r="AS64" s="44">
        <f t="shared" si="304"/>
        <v>-5.7406882616280091E-3</v>
      </c>
      <c r="AT64" s="44">
        <f t="shared" si="304"/>
        <v>7.821022196496847E-3</v>
      </c>
      <c r="AU64" s="44">
        <f t="shared" si="304"/>
        <v>2.0965073973264484E-2</v>
      </c>
      <c r="AV64" s="44">
        <f t="shared" si="304"/>
        <v>2.7709774920986287E-2</v>
      </c>
      <c r="AW64" s="44">
        <f t="shared" si="304"/>
        <v>3.8880516840033449E-2</v>
      </c>
      <c r="AX64" s="44">
        <f t="shared" si="304"/>
        <v>3.0372980552267229E-2</v>
      </c>
    </row>
    <row r="65" spans="1:53" x14ac:dyDescent="0.2">
      <c r="B65" s="20"/>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O65" s="44"/>
      <c r="AP65" s="44"/>
      <c r="AQ65" s="44"/>
      <c r="AR65" s="44"/>
      <c r="AS65" s="44"/>
      <c r="AT65" s="44"/>
      <c r="AU65" s="44"/>
      <c r="AV65" s="44"/>
      <c r="AW65" s="44"/>
      <c r="AX65" s="44"/>
    </row>
    <row r="66" spans="1:53" ht="13.5" x14ac:dyDescent="0.35">
      <c r="B66" s="4" t="s">
        <v>217</v>
      </c>
      <c r="G66" s="29"/>
      <c r="H66" s="25">
        <f>+H92</f>
        <v>124.25075</v>
      </c>
      <c r="I66" s="25">
        <f>+I92</f>
        <v>124.25075</v>
      </c>
      <c r="J66" s="25">
        <f>+J92</f>
        <v>124.25075</v>
      </c>
      <c r="K66" s="25">
        <f>+K92</f>
        <v>124.25075</v>
      </c>
      <c r="L66" s="25">
        <f>+L92</f>
        <v>159.45775</v>
      </c>
      <c r="M66" s="25">
        <f t="shared" ref="M66:AM66" si="305">+M92</f>
        <v>159.45775</v>
      </c>
      <c r="N66" s="25">
        <f t="shared" si="305"/>
        <v>159.45775</v>
      </c>
      <c r="O66" s="25">
        <f t="shared" si="305"/>
        <v>159.45775</v>
      </c>
      <c r="P66" s="25">
        <f t="shared" si="305"/>
        <v>162.88075000000001</v>
      </c>
      <c r="Q66" s="25">
        <f t="shared" si="305"/>
        <v>162.88075000000001</v>
      </c>
      <c r="R66" s="25">
        <f t="shared" si="305"/>
        <v>162.88075000000001</v>
      </c>
      <c r="S66" s="25">
        <f t="shared" si="305"/>
        <v>162.88075000000001</v>
      </c>
      <c r="T66" s="25">
        <f t="shared" si="305"/>
        <v>373.84500000000003</v>
      </c>
      <c r="U66" s="25">
        <f t="shared" si="305"/>
        <v>373.84500000000003</v>
      </c>
      <c r="V66" s="25">
        <f t="shared" si="305"/>
        <v>373.84500000000003</v>
      </c>
      <c r="W66" s="25">
        <f t="shared" si="305"/>
        <v>373.84500000000003</v>
      </c>
      <c r="X66" s="25">
        <f t="shared" si="305"/>
        <v>556.04224999999997</v>
      </c>
      <c r="Y66" s="25">
        <f t="shared" si="305"/>
        <v>556.04224999999997</v>
      </c>
      <c r="Z66" s="25">
        <f t="shared" si="305"/>
        <v>556.04224999999997</v>
      </c>
      <c r="AA66" s="25">
        <f t="shared" si="305"/>
        <v>556.04224999999997</v>
      </c>
      <c r="AB66" s="25">
        <f t="shared" si="305"/>
        <v>196.55875</v>
      </c>
      <c r="AC66" s="25">
        <f t="shared" si="305"/>
        <v>196.55875</v>
      </c>
      <c r="AD66" s="25">
        <f t="shared" si="305"/>
        <v>196.55875</v>
      </c>
      <c r="AE66" s="25">
        <f t="shared" si="305"/>
        <v>196.55875</v>
      </c>
      <c r="AF66" s="25">
        <f t="shared" si="305"/>
        <v>459.72705292973092</v>
      </c>
      <c r="AG66" s="25">
        <f t="shared" si="305"/>
        <v>459.72705292973092</v>
      </c>
      <c r="AH66" s="25">
        <f t="shared" si="305"/>
        <v>459.72705292973092</v>
      </c>
      <c r="AI66" s="25">
        <f t="shared" si="305"/>
        <v>459.72705292973092</v>
      </c>
      <c r="AJ66" s="25">
        <f t="shared" si="305"/>
        <v>516.25</v>
      </c>
      <c r="AK66" s="25">
        <f t="shared" si="305"/>
        <v>516.25</v>
      </c>
      <c r="AL66" s="25">
        <f t="shared" si="305"/>
        <v>516.25</v>
      </c>
      <c r="AM66" s="25">
        <f t="shared" si="305"/>
        <v>516.25</v>
      </c>
      <c r="AO66" s="25">
        <f t="shared" ref="AO66:AX66" si="306">+AO92</f>
        <v>0.75600000000000001</v>
      </c>
      <c r="AP66" s="25">
        <f t="shared" si="306"/>
        <v>2.2650000000000001</v>
      </c>
      <c r="AQ66" s="25">
        <f t="shared" si="306"/>
        <v>497.00299999999999</v>
      </c>
      <c r="AR66" s="25">
        <f t="shared" si="306"/>
        <v>637.83100000000002</v>
      </c>
      <c r="AS66" s="25">
        <f t="shared" si="306"/>
        <v>651.52300000000002</v>
      </c>
      <c r="AT66" s="25">
        <f t="shared" si="306"/>
        <v>1495.38</v>
      </c>
      <c r="AU66" s="25">
        <f t="shared" si="306"/>
        <v>2224.1689999999999</v>
      </c>
      <c r="AV66" s="25">
        <f t="shared" si="306"/>
        <v>786.23500000000001</v>
      </c>
      <c r="AW66" s="25">
        <f t="shared" si="306"/>
        <v>1838.9082117189237</v>
      </c>
      <c r="AX66" s="25">
        <f t="shared" si="306"/>
        <v>2065</v>
      </c>
    </row>
    <row r="67" spans="1:53" s="1" customFormat="1" x14ac:dyDescent="0.2">
      <c r="B67" s="43" t="s">
        <v>278</v>
      </c>
      <c r="H67" s="42">
        <f>+H61+H66</f>
        <v>-115.27225000000037</v>
      </c>
      <c r="I67" s="42">
        <f t="shared" ref="I67:L67" si="307">+I61+I66</f>
        <v>-691.47924999999907</v>
      </c>
      <c r="J67" s="42">
        <f t="shared" si="307"/>
        <v>-665.76724999999999</v>
      </c>
      <c r="K67" s="42">
        <f t="shared" si="307"/>
        <v>-1988.6462499999991</v>
      </c>
      <c r="L67" s="42">
        <f t="shared" si="307"/>
        <v>-1462.4312500000005</v>
      </c>
      <c r="M67" s="42">
        <f t="shared" ref="M67" si="308">+M61+M66</f>
        <v>-738.98025000000098</v>
      </c>
      <c r="N67" s="42">
        <f t="shared" ref="N67" si="309">+N61+N66</f>
        <v>-1964.0882500000002</v>
      </c>
      <c r="O67" s="42">
        <f t="shared" ref="O67" si="310">+O61+O66</f>
        <v>-1177.1742499999996</v>
      </c>
      <c r="P67" s="42">
        <f t="shared" ref="P67" si="311">+P61+P66</f>
        <v>-3424.9792500000008</v>
      </c>
      <c r="Q67" s="42">
        <f t="shared" ref="Q67" si="312">+Q61+Q66</f>
        <v>-562.1902500000017</v>
      </c>
      <c r="R67" s="42">
        <f t="shared" ref="R67" si="313">+R61+R66</f>
        <v>-176.9282500000011</v>
      </c>
      <c r="S67" s="42">
        <f t="shared" ref="S67" si="314">+S61+S66</f>
        <v>-951.66124999999761</v>
      </c>
      <c r="T67" s="42">
        <f t="shared" ref="T67" si="315">+T61+T66</f>
        <v>-2800.3020000000006</v>
      </c>
      <c r="U67" s="42">
        <f t="shared" ref="U67" si="316">+U61+U66</f>
        <v>3559.0870000000004</v>
      </c>
      <c r="V67" s="42">
        <f t="shared" ref="V67" si="317">+V61+V66</f>
        <v>3634.5699999999988</v>
      </c>
      <c r="W67" s="42">
        <f t="shared" ref="W67" si="318">+W61+W66</f>
        <v>8773.5170000000126</v>
      </c>
      <c r="X67" s="42">
        <f t="shared" ref="X67" si="319">+X61+X66</f>
        <v>4233.1982499999976</v>
      </c>
      <c r="Y67" s="42">
        <f t="shared" ref="Y67" si="320">+Y61+Y66</f>
        <v>11097.557249999998</v>
      </c>
      <c r="Z67" s="42">
        <f t="shared" ref="Z67" si="321">+Z61+Z66</f>
        <v>12857.537249999999</v>
      </c>
      <c r="AA67" s="42">
        <f t="shared" ref="AA67" si="322">+AA61+AA66</f>
        <v>12156.162249999992</v>
      </c>
      <c r="AB67" s="42">
        <f t="shared" ref="AB67" si="323">+AB61+AB66</f>
        <v>8658.978750000002</v>
      </c>
      <c r="AC67" s="42">
        <f t="shared" ref="AC67" si="324">+AC61+AC66</f>
        <v>14805.942749999995</v>
      </c>
      <c r="AD67" s="42">
        <f t="shared" ref="AD67" si="325">+AD61+AD66</f>
        <v>18322.398749999997</v>
      </c>
      <c r="AE67" s="42">
        <f t="shared" ref="AE67" si="326">+AE61+AE66</f>
        <v>24776.470749999997</v>
      </c>
      <c r="AF67" s="42">
        <f t="shared" ref="AF67" si="327">+AF61+AF66</f>
        <v>29011.922052929742</v>
      </c>
      <c r="AG67" s="42">
        <f t="shared" ref="AG67" si="328">+AG61+AG66</f>
        <v>35447.025052929734</v>
      </c>
      <c r="AH67" s="42">
        <f t="shared" ref="AH67" si="329">+AH61+AH66</f>
        <v>27230.190052929727</v>
      </c>
      <c r="AI67" s="42">
        <f t="shared" ref="AI67" si="330">+AI61+AI66</f>
        <v>25181.650800732961</v>
      </c>
      <c r="AJ67" s="42">
        <f t="shared" ref="AJ67" si="331">+AJ61+AJ66</f>
        <v>21332.75867608509</v>
      </c>
      <c r="AK67" s="42">
        <f t="shared" ref="AK67" si="332">+AK61+AK66</f>
        <v>25990.026000909937</v>
      </c>
      <c r="AL67" s="42">
        <f t="shared" ref="AL67" si="333">+AL61+AL66</f>
        <v>27788.694335581255</v>
      </c>
      <c r="AM67" s="42">
        <f t="shared" ref="AM67:AO67" si="334">+AM61+AM66</f>
        <v>30955.038990570567</v>
      </c>
      <c r="AO67" s="42">
        <f t="shared" si="334"/>
        <v>-281.38900000000007</v>
      </c>
      <c r="AP67" s="42">
        <f t="shared" ref="AP67" si="335">+AP61+AP66</f>
        <v>-466.95399999999995</v>
      </c>
      <c r="AQ67" s="42">
        <f t="shared" ref="AQ67" si="336">+AQ61+AQ66</f>
        <v>-3461.1649999999995</v>
      </c>
      <c r="AR67" s="42">
        <f t="shared" ref="AR67" si="337">+AR61+AR66</f>
        <v>-5342.6740000000009</v>
      </c>
      <c r="AS67" s="42">
        <f t="shared" ref="AS67" si="338">+AS61+AS66</f>
        <v>-5115.7589999999991</v>
      </c>
      <c r="AT67" s="42">
        <f t="shared" ref="AT67" si="339">+AT61+AT66</f>
        <v>13166.871999999999</v>
      </c>
      <c r="AU67" s="42">
        <f t="shared" ref="AU67" si="340">+AU61+AU66</f>
        <v>40344.455000000016</v>
      </c>
      <c r="AV67" s="42">
        <f t="shared" ref="AV67" si="341">+AV61+AV66</f>
        <v>66563.790999999997</v>
      </c>
      <c r="AW67" s="42">
        <f t="shared" ref="AW67" si="342">+AW61+AW66</f>
        <v>116870.78795952216</v>
      </c>
      <c r="AX67" s="42">
        <f t="shared" ref="AX67" si="343">+AX61+AX66</f>
        <v>106066.51800314685</v>
      </c>
    </row>
    <row r="68" spans="1:53" s="1" customFormat="1" x14ac:dyDescent="0.2">
      <c r="B68" s="267" t="s">
        <v>85</v>
      </c>
      <c r="H68"/>
      <c r="I68"/>
      <c r="J68"/>
      <c r="K68"/>
      <c r="L68" s="28">
        <f>IFERROR(L67/H67-1,"n/a")</f>
        <v>11.686758955429394</v>
      </c>
      <c r="M68" s="28">
        <f t="shared" ref="M68" si="344">IFERROR(M67/I67-1,"n/a")</f>
        <v>6.8694758374892695E-2</v>
      </c>
      <c r="N68" s="28">
        <f t="shared" ref="N68" si="345">IFERROR(N67/J67-1,"n/a")</f>
        <v>1.9501124454529721</v>
      </c>
      <c r="O68" s="28">
        <f t="shared" ref="O68" si="346">IFERROR(O67/K67-1,"n/a")</f>
        <v>-0.40805246282489904</v>
      </c>
      <c r="P68" s="28">
        <f t="shared" ref="P68" si="347">IFERROR(P67/L67-1,"n/a")</f>
        <v>1.3419762467466416</v>
      </c>
      <c r="Q68" s="28">
        <f t="shared" ref="Q68" si="348">IFERROR(Q67/M67-1,"n/a")</f>
        <v>-0.23923508104580471</v>
      </c>
      <c r="R68" s="28">
        <f t="shared" ref="R68" si="349">IFERROR(R67/N67-1,"n/a")</f>
        <v>-0.90991838070412512</v>
      </c>
      <c r="S68" s="28">
        <f t="shared" ref="S68" si="350">IFERROR(S67/O67-1,"n/a")</f>
        <v>-0.19157146870992303</v>
      </c>
      <c r="T68" s="28">
        <f t="shared" ref="T68" si="351">IFERROR(T67/P67-1,"n/a")</f>
        <v>-0.1823886232303451</v>
      </c>
      <c r="U68" s="28">
        <f t="shared" ref="U68" si="352">IFERROR(U67/Q67-1,"n/a")</f>
        <v>-7.3307519118305411</v>
      </c>
      <c r="V68" s="28">
        <f t="shared" ref="V68" si="353">IFERROR(V67/R67-1,"n/a")</f>
        <v>-21.542621090752757</v>
      </c>
      <c r="W68" s="28">
        <f t="shared" ref="W68" si="354">IFERROR(W67/S67-1,"n/a")</f>
        <v>-10.21915965371085</v>
      </c>
      <c r="X68" s="28">
        <f t="shared" ref="X68" si="355">IFERROR(X67/T67-1,"n/a")</f>
        <v>-2.5116934709184928</v>
      </c>
      <c r="Y68" s="28">
        <f t="shared" ref="Y68" si="356">IFERROR(Y67/U67-1,"n/a")</f>
        <v>2.1180910300872098</v>
      </c>
      <c r="Z68" s="28">
        <f t="shared" ref="Z68" si="357">IFERROR(Z67/V67-1,"n/a")</f>
        <v>2.5375676489928667</v>
      </c>
      <c r="AA68" s="28">
        <f t="shared" ref="AA68" si="358">IFERROR(AA67/W67-1,"n/a")</f>
        <v>0.38555179752885582</v>
      </c>
      <c r="AB68" s="28">
        <f t="shared" ref="AB68" si="359">IFERROR(AB67/X67-1,"n/a")</f>
        <v>1.0454933217455635</v>
      </c>
      <c r="AC68" s="28">
        <f t="shared" ref="AC68" si="360">IFERROR(AC67/Y67-1,"n/a")</f>
        <v>0.33416232207317487</v>
      </c>
      <c r="AD68" s="28">
        <f t="shared" ref="AD68" si="361">IFERROR(AD67/Z67-1,"n/a")</f>
        <v>0.42503174548454048</v>
      </c>
      <c r="AE68" s="28">
        <f t="shared" ref="AE68" si="362">IFERROR(AE67/AA67-1,"n/a")</f>
        <v>1.0381819722750092</v>
      </c>
      <c r="AF68" s="28">
        <f t="shared" ref="AF68" si="363">IFERROR(AF67/AB67-1,"n/a")</f>
        <v>2.3505015880688855</v>
      </c>
      <c r="AG68" s="28">
        <f t="shared" ref="AG68" si="364">IFERROR(AG67/AC67-1,"n/a")</f>
        <v>1.3941079370261478</v>
      </c>
      <c r="AH68" s="28">
        <f t="shared" ref="AH68" si="365">IFERROR(AH67/AD67-1,"n/a")</f>
        <v>0.48616949256874631</v>
      </c>
      <c r="AI68" s="28">
        <f t="shared" ref="AI68" si="366">IFERROR(AI67/AE67-1,"n/a")</f>
        <v>1.6353420744274594E-2</v>
      </c>
      <c r="AJ68" s="28">
        <f t="shared" ref="AJ68" si="367">IFERROR(AJ67/AF67-1,"n/a")</f>
        <v>-0.264689921709933</v>
      </c>
      <c r="AK68" s="28">
        <f t="shared" ref="AK68" si="368">IFERROR(AK67/AG67-1,"n/a")</f>
        <v>-0.26679246108519805</v>
      </c>
      <c r="AL68" s="28">
        <f t="shared" ref="AL68" si="369">IFERROR(AL67/AH67-1,"n/a")</f>
        <v>2.0510480520551377E-2</v>
      </c>
      <c r="AM68" s="28">
        <f t="shared" ref="AM68" si="370">IFERROR(AM67/AI67-1,"n/a")</f>
        <v>0.22926964699508745</v>
      </c>
      <c r="AN68"/>
      <c r="AO68"/>
      <c r="AP68" s="28">
        <f>IFERROR(AP67/AO67-1,"n/a")</f>
        <v>0.65946074651105713</v>
      </c>
      <c r="AQ68" s="28">
        <f t="shared" ref="AQ68" si="371">IFERROR(AQ67/AP67-1,"n/a")</f>
        <v>6.412218334139979</v>
      </c>
      <c r="AR68" s="28">
        <f t="shared" ref="AR68" si="372">IFERROR(AR67/AQ67-1,"n/a")</f>
        <v>0.54360569345870591</v>
      </c>
      <c r="AS68" s="28">
        <f t="shared" ref="AS68" si="373">IFERROR(AS67/AR67-1,"n/a")</f>
        <v>-4.2472177789623977E-2</v>
      </c>
      <c r="AT68" s="28">
        <f t="shared" ref="AT68" si="374">IFERROR(AT67/AS67-1,"n/a")</f>
        <v>-3.5737866072268067</v>
      </c>
      <c r="AU68" s="28">
        <f t="shared" ref="AU68" si="375">IFERROR(AU67/AT67-1,"n/a")</f>
        <v>2.0640880385257803</v>
      </c>
      <c r="AV68" s="28">
        <f t="shared" ref="AV68" si="376">IFERROR(AV67/AU67-1,"n/a")</f>
        <v>0.64988697951180585</v>
      </c>
      <c r="AW68" s="28">
        <f t="shared" ref="AW68" si="377">IFERROR(AW67/AV67-1,"n/a")</f>
        <v>0.7557712114011379</v>
      </c>
      <c r="AX68" s="28">
        <f t="shared" ref="AX68" si="378">IFERROR(AX67/AW67-1,"n/a")</f>
        <v>-9.2446283156038422E-2</v>
      </c>
    </row>
    <row r="69" spans="1:53" s="1" customFormat="1" x14ac:dyDescent="0.2">
      <c r="B69" s="267" t="s">
        <v>87</v>
      </c>
      <c r="H69" s="44">
        <f>IFERROR(H67/H16,"n/a")</f>
        <v>-8.3252865079113156E-2</v>
      </c>
      <c r="I69" s="44">
        <f t="shared" ref="I69:AX69" si="379">IFERROR(I67/I16,"n/a")</f>
        <v>-0.25524824975286464</v>
      </c>
      <c r="J69" s="44">
        <f t="shared" si="379"/>
        <v>-0.19741540046340636</v>
      </c>
      <c r="K69" s="44">
        <f t="shared" si="379"/>
        <v>-0.35172863191250237</v>
      </c>
      <c r="L69" s="44">
        <f t="shared" si="379"/>
        <v>-0.32175261000386357</v>
      </c>
      <c r="M69" s="44">
        <f t="shared" si="379"/>
        <v>-0.10136892168019582</v>
      </c>
      <c r="N69" s="44">
        <f t="shared" si="379"/>
        <v>-0.2613923133351469</v>
      </c>
      <c r="O69" s="44">
        <f t="shared" si="379"/>
        <v>-0.10907107713102319</v>
      </c>
      <c r="P69" s="44">
        <f t="shared" si="379"/>
        <v>-0.52361234625769326</v>
      </c>
      <c r="Q69" s="44">
        <f t="shared" si="379"/>
        <v>-4.610643209004292E-2</v>
      </c>
      <c r="R69" s="44">
        <f t="shared" si="379"/>
        <v>-1.2451158645502169E-2</v>
      </c>
      <c r="S69" s="44">
        <f t="shared" si="379"/>
        <v>-3.5847208133854322E-2</v>
      </c>
      <c r="T69" s="44">
        <f t="shared" si="379"/>
        <v>-0.12632694968340244</v>
      </c>
      <c r="U69" s="44">
        <f t="shared" si="379"/>
        <v>0.15443257072092517</v>
      </c>
      <c r="V69" s="44">
        <f t="shared" si="379"/>
        <v>0.16900450567703768</v>
      </c>
      <c r="W69" s="44">
        <f t="shared" si="379"/>
        <v>0.32219020462885128</v>
      </c>
      <c r="X69" s="44">
        <f t="shared" si="379"/>
        <v>0.17791264944246341</v>
      </c>
      <c r="Y69" s="44">
        <f t="shared" si="379"/>
        <v>0.35298058961878859</v>
      </c>
      <c r="Z69" s="44">
        <f t="shared" si="379"/>
        <v>0.36214024220838131</v>
      </c>
      <c r="AA69" s="44">
        <f t="shared" si="379"/>
        <v>0.30527759171841856</v>
      </c>
      <c r="AB69" s="44">
        <f t="shared" si="379"/>
        <v>0.230065288060568</v>
      </c>
      <c r="AC69" s="44">
        <f t="shared" si="379"/>
        <v>0.28320066786343601</v>
      </c>
      <c r="AD69" s="44">
        <f t="shared" si="379"/>
        <v>0.26615775719744444</v>
      </c>
      <c r="AE69" s="44">
        <f t="shared" si="379"/>
        <v>0.27875992298289592</v>
      </c>
      <c r="AF69" s="44">
        <f t="shared" si="379"/>
        <v>0.33419230446924131</v>
      </c>
      <c r="AG69" s="44">
        <f t="shared" si="379"/>
        <v>0.36520911123019678</v>
      </c>
      <c r="AH69" s="44">
        <f t="shared" si="379"/>
        <v>0.27407130211503894</v>
      </c>
      <c r="AI69" s="44">
        <f t="shared" si="379"/>
        <v>0.2291943384722655</v>
      </c>
      <c r="AJ69" s="44">
        <f t="shared" si="379"/>
        <v>0.22372603509356265</v>
      </c>
      <c r="AK69" s="44">
        <f t="shared" si="379"/>
        <v>0.23375525284603085</v>
      </c>
      <c r="AL69" s="44">
        <f t="shared" si="379"/>
        <v>0.23331949876680969</v>
      </c>
      <c r="AM69" s="44">
        <f t="shared" si="379"/>
        <v>0.23297471302420916</v>
      </c>
      <c r="AN69" s="55"/>
      <c r="AO69" s="44">
        <f t="shared" si="379"/>
        <v>-0.55735604043861331</v>
      </c>
      <c r="AP69" s="44">
        <f t="shared" si="379"/>
        <v>-0.26773718576484046</v>
      </c>
      <c r="AQ69" s="44">
        <f t="shared" si="379"/>
        <v>-0.26380850900038788</v>
      </c>
      <c r="AR69" s="44">
        <f t="shared" si="379"/>
        <v>-0.1772508196733277</v>
      </c>
      <c r="AS69" s="44">
        <f t="shared" si="379"/>
        <v>-8.5990899764194634E-2</v>
      </c>
      <c r="AT69" s="44">
        <f t="shared" si="379"/>
        <v>0.1401477440022606</v>
      </c>
      <c r="AU69" s="44">
        <f t="shared" si="379"/>
        <v>0.30901654441550702</v>
      </c>
      <c r="AV69" s="44">
        <f t="shared" si="379"/>
        <v>0.26879342873031759</v>
      </c>
      <c r="AW69" s="44">
        <f t="shared" si="379"/>
        <v>0.29730829452904417</v>
      </c>
      <c r="AX69" s="44">
        <f t="shared" si="379"/>
        <v>0.23133017411570944</v>
      </c>
    </row>
    <row r="70" spans="1:53" s="1" customFormat="1" x14ac:dyDescent="0.2">
      <c r="B70" s="267" t="s">
        <v>467</v>
      </c>
      <c r="H70" s="44">
        <f>+IFERROR(H67/(H249*1000),"n/a")</f>
        <v>-2.9021210976837956E-3</v>
      </c>
      <c r="I70" s="44">
        <f t="shared" ref="I70:AX70" si="380">+IFERROR(I67/(I249*1000),"n/a")</f>
        <v>-1.3976732034863016E-2</v>
      </c>
      <c r="J70" s="44">
        <f t="shared" si="380"/>
        <v>-9.3801214206412301E-3</v>
      </c>
      <c r="K70" s="44">
        <f t="shared" si="380"/>
        <v>-1.6195506555908453E-2</v>
      </c>
      <c r="L70" s="44">
        <f t="shared" si="380"/>
        <v>-1.6036696427788166E-2</v>
      </c>
      <c r="M70" s="44">
        <f t="shared" si="380"/>
        <v>-5.2596159594820889E-3</v>
      </c>
      <c r="N70" s="44">
        <f t="shared" si="380"/>
        <v>-1.3125738456685675E-2</v>
      </c>
      <c r="O70" s="44">
        <f t="shared" si="380"/>
        <v>-5.2875814131069466E-3</v>
      </c>
      <c r="P70" s="44">
        <f t="shared" si="380"/>
        <v>-2.4009899599455375E-2</v>
      </c>
      <c r="Q70" s="44">
        <f t="shared" si="380"/>
        <v>-2.2824965600137599E-3</v>
      </c>
      <c r="R70" s="44">
        <f t="shared" si="380"/>
        <v>-6.7279136074568338E-4</v>
      </c>
      <c r="S70" s="44">
        <f t="shared" si="380"/>
        <v>-2.6981981981981915E-3</v>
      </c>
      <c r="T70" s="44">
        <f t="shared" si="380"/>
        <v>-9.011615038597558E-3</v>
      </c>
      <c r="U70" s="44">
        <f t="shared" si="380"/>
        <v>9.9617873885289154E-3</v>
      </c>
      <c r="V70" s="44">
        <f t="shared" si="380"/>
        <v>9.6049722436010402E-3</v>
      </c>
      <c r="W70" s="44">
        <f t="shared" si="380"/>
        <v>1.9675953766917359E-2</v>
      </c>
      <c r="X70" s="44">
        <f t="shared" si="380"/>
        <v>1.1039256061343254E-2</v>
      </c>
      <c r="Y70" s="44">
        <f t="shared" si="380"/>
        <v>2.614746932978915E-2</v>
      </c>
      <c r="Z70" s="44">
        <f t="shared" si="380"/>
        <v>2.6975948497540276E-2</v>
      </c>
      <c r="AA70" s="44">
        <f t="shared" si="380"/>
        <v>2.277473188344125E-2</v>
      </c>
      <c r="AB70" s="44">
        <f t="shared" si="380"/>
        <v>1.7861814113158344E-2</v>
      </c>
      <c r="AC70" s="44">
        <f t="shared" si="380"/>
        <v>2.6175675962372465E-2</v>
      </c>
      <c r="AD70" s="44">
        <f t="shared" si="380"/>
        <v>2.9943219092074376E-2</v>
      </c>
      <c r="AE70" s="44">
        <f t="shared" si="380"/>
        <v>3.4823597377589804E-2</v>
      </c>
      <c r="AF70" s="44">
        <f t="shared" si="380"/>
        <v>4.5433041001893881E-2</v>
      </c>
      <c r="AG70" s="44">
        <f t="shared" si="380"/>
        <v>4.9779012481744794E-2</v>
      </c>
      <c r="AH70" s="44">
        <f t="shared" si="380"/>
        <v>3.6083611111627945E-2</v>
      </c>
      <c r="AI70" s="44">
        <f t="shared" si="380"/>
        <v>2.951069494868E-2</v>
      </c>
      <c r="AJ70" s="44">
        <f t="shared" si="380"/>
        <v>2.9003725789333534E-2</v>
      </c>
      <c r="AK70" s="44">
        <f t="shared" si="380"/>
        <v>3.1653596092460878E-2</v>
      </c>
      <c r="AL70" s="44">
        <f t="shared" si="380"/>
        <v>3.1704468437523371E-2</v>
      </c>
      <c r="AM70" s="44">
        <f t="shared" si="380"/>
        <v>3.1234270651719576E-2</v>
      </c>
      <c r="AN70" s="55"/>
      <c r="AO70" s="44" t="str">
        <f t="shared" si="380"/>
        <v>n/a</v>
      </c>
      <c r="AP70" s="44">
        <f t="shared" si="380"/>
        <v>-5.5098207184947623E-3</v>
      </c>
      <c r="AQ70" s="44">
        <f t="shared" si="380"/>
        <v>-1.2231993921402314E-2</v>
      </c>
      <c r="AR70" s="44">
        <f t="shared" si="380"/>
        <v>-8.8460725875885837E-3</v>
      </c>
      <c r="AS70" s="44">
        <f t="shared" si="380"/>
        <v>-5.0921695246769344E-3</v>
      </c>
      <c r="AT70" s="44">
        <f t="shared" si="380"/>
        <v>8.8230706211710423E-3</v>
      </c>
      <c r="AU70" s="44">
        <f t="shared" si="380"/>
        <v>2.2188303715403399E-2</v>
      </c>
      <c r="AV70" s="44">
        <f t="shared" si="380"/>
        <v>2.804098812211224E-2</v>
      </c>
      <c r="AW70" s="44">
        <f t="shared" si="380"/>
        <v>3.9502063682958784E-2</v>
      </c>
      <c r="AX70" s="44">
        <f t="shared" si="380"/>
        <v>3.0976050642441626E-2</v>
      </c>
    </row>
    <row r="71" spans="1:53" x14ac:dyDescent="0.2">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O71" s="29"/>
      <c r="AP71" s="29"/>
      <c r="AQ71" s="29"/>
      <c r="AR71" s="29"/>
      <c r="AS71" s="29"/>
      <c r="AT71" s="29"/>
      <c r="AU71" s="29"/>
      <c r="AV71" s="29"/>
      <c r="AW71" s="29"/>
      <c r="AX71" s="29"/>
    </row>
    <row r="72" spans="1:53" ht="13.5" x14ac:dyDescent="0.35">
      <c r="A72" t="s">
        <v>251</v>
      </c>
      <c r="B72" t="s">
        <v>69</v>
      </c>
      <c r="H72" s="25">
        <f>+-H607</f>
        <v>-13.61</v>
      </c>
      <c r="I72" s="25">
        <f t="shared" ref="I72:AD72" si="381">+-I607</f>
        <v>-5820.49</v>
      </c>
      <c r="J72" s="25">
        <f t="shared" si="381"/>
        <v>-479.46099999999996</v>
      </c>
      <c r="K72" s="25">
        <f t="shared" si="381"/>
        <v>-528.01199999999994</v>
      </c>
      <c r="L72" s="25">
        <f t="shared" si="381"/>
        <v>-498.63199999999995</v>
      </c>
      <c r="M72" s="25">
        <f t="shared" si="381"/>
        <v>-591.97500000000002</v>
      </c>
      <c r="N72" s="25">
        <f t="shared" si="381"/>
        <v>-668.42700000000002</v>
      </c>
      <c r="O72" s="25">
        <f t="shared" si="381"/>
        <v>-798.67200000000003</v>
      </c>
      <c r="P72" s="25">
        <f t="shared" si="381"/>
        <v>-809.37300000000005</v>
      </c>
      <c r="Q72" s="25">
        <f t="shared" si="381"/>
        <v>-914.51099999999997</v>
      </c>
      <c r="R72" s="25">
        <f t="shared" si="381"/>
        <v>-955.92899999999997</v>
      </c>
      <c r="S72" s="25">
        <f t="shared" si="381"/>
        <v>-933.23</v>
      </c>
      <c r="T72" s="25">
        <f t="shared" si="381"/>
        <v>-972.80899999999997</v>
      </c>
      <c r="U72" s="25">
        <f t="shared" si="381"/>
        <v>-1187.7629999999999</v>
      </c>
      <c r="V72" s="25">
        <f t="shared" si="381"/>
        <v>-1121.453</v>
      </c>
      <c r="W72" s="25">
        <f t="shared" si="381"/>
        <v>-1492.7049999999999</v>
      </c>
      <c r="X72" s="25">
        <f t="shared" si="381"/>
        <v>-1522.75</v>
      </c>
      <c r="Y72" s="25">
        <f t="shared" si="381"/>
        <v>-1844.348</v>
      </c>
      <c r="Z72" s="25">
        <f t="shared" si="381"/>
        <v>-1864.8819999999998</v>
      </c>
      <c r="AA72" s="25">
        <f t="shared" si="381"/>
        <v>-2486.3850000000002</v>
      </c>
      <c r="AB72" s="25">
        <f t="shared" si="381"/>
        <v>-1533.402</v>
      </c>
      <c r="AC72" s="25">
        <f t="shared" si="381"/>
        <v>-1890.6289999999999</v>
      </c>
      <c r="AD72" s="25">
        <f t="shared" si="381"/>
        <v>-1469.819</v>
      </c>
      <c r="AE72" s="25">
        <f t="shared" ref="AE72:AF72" si="382">+-AE607</f>
        <v>-2184.944</v>
      </c>
      <c r="AF72" s="25">
        <f t="shared" si="382"/>
        <v>-2578.5420000000004</v>
      </c>
      <c r="AG72" s="25">
        <f t="shared" ref="AG72:AH72" si="383">+-AG607</f>
        <v>-2422.7620000000002</v>
      </c>
      <c r="AH72" s="25">
        <f t="shared" si="383"/>
        <v>-2478.0050000000001</v>
      </c>
      <c r="AI72" s="54">
        <f>+AH72-700</f>
        <v>-3178.0050000000001</v>
      </c>
      <c r="AJ72" s="54">
        <v>-2700</v>
      </c>
      <c r="AK72" s="54">
        <v>-2700</v>
      </c>
      <c r="AL72" s="54">
        <v>-2700</v>
      </c>
      <c r="AM72" s="54">
        <v>-3200</v>
      </c>
      <c r="AN72" s="16"/>
      <c r="AO72" s="25">
        <f t="shared" ref="AO72:AU72" si="384">+-AO607</f>
        <v>-4.0640000000000001</v>
      </c>
      <c r="AP72" s="25">
        <f t="shared" si="384"/>
        <v>-116.50500000000001</v>
      </c>
      <c r="AQ72" s="25">
        <f t="shared" si="384"/>
        <v>-6841.5729999999994</v>
      </c>
      <c r="AR72" s="25">
        <f t="shared" si="384"/>
        <v>-2557.7060000000001</v>
      </c>
      <c r="AS72" s="25">
        <f t="shared" si="384"/>
        <v>-3613.0429999999997</v>
      </c>
      <c r="AT72" s="25">
        <f t="shared" si="384"/>
        <v>-4774.7299999999996</v>
      </c>
      <c r="AU72" s="25">
        <f t="shared" si="384"/>
        <v>-7718.3649999999998</v>
      </c>
      <c r="AV72" s="25">
        <f t="shared" ref="AV72" si="385">+-AV607</f>
        <v>-7078.7939999999999</v>
      </c>
      <c r="AW72" s="25">
        <f>+SUM(AF72:AI72)</f>
        <v>-10657.314</v>
      </c>
      <c r="AX72" s="25">
        <f t="shared" ref="AX72:AX73" si="386">+SUM(AJ72:AM72)</f>
        <v>-11300</v>
      </c>
      <c r="BA72" s="33">
        <f>SUM(AD73:AG73)*0.14</f>
        <v>13662.484920000003</v>
      </c>
    </row>
    <row r="73" spans="1:53" s="1" customFormat="1" x14ac:dyDescent="0.2">
      <c r="B73" s="38" t="s">
        <v>95</v>
      </c>
      <c r="H73" s="42">
        <f t="shared" ref="H73:AM73" si="387">+IFERROR(H61+H72,"n/a")</f>
        <v>-253.13300000000038</v>
      </c>
      <c r="I73" s="42">
        <f t="shared" si="387"/>
        <v>-6636.2199999999993</v>
      </c>
      <c r="J73" s="42">
        <f t="shared" si="387"/>
        <v>-1269.479</v>
      </c>
      <c r="K73" s="42">
        <f t="shared" si="387"/>
        <v>-2640.9089999999987</v>
      </c>
      <c r="L73" s="42">
        <f t="shared" si="387"/>
        <v>-2120.5210000000006</v>
      </c>
      <c r="M73" s="42">
        <f t="shared" si="387"/>
        <v>-1490.4130000000009</v>
      </c>
      <c r="N73" s="42">
        <f t="shared" si="387"/>
        <v>-2791.9730000000004</v>
      </c>
      <c r="O73" s="42">
        <f t="shared" si="387"/>
        <v>-2135.3039999999996</v>
      </c>
      <c r="P73" s="42">
        <f t="shared" si="387"/>
        <v>-4397.2330000000002</v>
      </c>
      <c r="Q73" s="42">
        <f t="shared" si="387"/>
        <v>-1639.5820000000017</v>
      </c>
      <c r="R73" s="42">
        <f t="shared" si="387"/>
        <v>-1295.7380000000012</v>
      </c>
      <c r="S73" s="42">
        <f t="shared" si="387"/>
        <v>-2047.7719999999977</v>
      </c>
      <c r="T73" s="42">
        <f t="shared" si="387"/>
        <v>-4146.956000000001</v>
      </c>
      <c r="U73" s="42">
        <f t="shared" si="387"/>
        <v>1997.4790000000003</v>
      </c>
      <c r="V73" s="42">
        <f t="shared" si="387"/>
        <v>2139.2719999999986</v>
      </c>
      <c r="W73" s="42">
        <f t="shared" si="387"/>
        <v>6906.9670000000133</v>
      </c>
      <c r="X73" s="42">
        <f t="shared" si="387"/>
        <v>2154.4059999999972</v>
      </c>
      <c r="Y73" s="42">
        <f t="shared" si="387"/>
        <v>8697.1669999999976</v>
      </c>
      <c r="Z73" s="42">
        <f t="shared" si="387"/>
        <v>10436.612999999999</v>
      </c>
      <c r="AA73" s="42">
        <f t="shared" si="387"/>
        <v>9113.7349999999915</v>
      </c>
      <c r="AB73" s="42">
        <f t="shared" si="387"/>
        <v>6929.0180000000018</v>
      </c>
      <c r="AC73" s="42">
        <f t="shared" si="387"/>
        <v>12718.754999999994</v>
      </c>
      <c r="AD73" s="42">
        <f t="shared" si="387"/>
        <v>16656.020999999997</v>
      </c>
      <c r="AE73" s="42">
        <f t="shared" si="387"/>
        <v>22394.967999999997</v>
      </c>
      <c r="AF73" s="42">
        <f t="shared" si="387"/>
        <v>25973.653000000009</v>
      </c>
      <c r="AG73" s="42">
        <f t="shared" si="387"/>
        <v>32564.536000000004</v>
      </c>
      <c r="AH73" s="42">
        <f t="shared" si="387"/>
        <v>24292.457999999995</v>
      </c>
      <c r="AI73" s="42">
        <f t="shared" si="387"/>
        <v>21543.918747803229</v>
      </c>
      <c r="AJ73" s="42">
        <f t="shared" si="387"/>
        <v>18116.50867608509</v>
      </c>
      <c r="AK73" s="42">
        <f t="shared" si="387"/>
        <v>22773.776000909937</v>
      </c>
      <c r="AL73" s="42">
        <f t="shared" si="387"/>
        <v>24572.444335581255</v>
      </c>
      <c r="AM73" s="42">
        <f t="shared" si="387"/>
        <v>27238.788990570567</v>
      </c>
      <c r="AO73" s="42">
        <f t="shared" ref="AO73:AV73" si="388">+IFERROR(AO61+AO72,"n/a")</f>
        <v>-286.20900000000006</v>
      </c>
      <c r="AP73" s="42">
        <f t="shared" si="388"/>
        <v>-585.72399999999993</v>
      </c>
      <c r="AQ73" s="42">
        <f t="shared" si="388"/>
        <v>-10799.740999999998</v>
      </c>
      <c r="AR73" s="42">
        <f t="shared" si="388"/>
        <v>-8538.2110000000011</v>
      </c>
      <c r="AS73" s="42">
        <f t="shared" si="388"/>
        <v>-9380.3249999999989</v>
      </c>
      <c r="AT73" s="42">
        <f t="shared" si="388"/>
        <v>6896.7619999999988</v>
      </c>
      <c r="AU73" s="42">
        <f t="shared" si="388"/>
        <v>30401.921000000017</v>
      </c>
      <c r="AV73" s="42">
        <f t="shared" si="388"/>
        <v>58698.761999999995</v>
      </c>
      <c r="AW73" s="42">
        <f>+SUM(AF73:AI73)</f>
        <v>104374.56574780324</v>
      </c>
      <c r="AX73" s="42">
        <f t="shared" si="386"/>
        <v>92701.518003146848</v>
      </c>
      <c r="AZ73" s="42"/>
      <c r="BA73" s="220">
        <f>+BA72/(SUM(AD16:AG16)*0.14)</f>
        <v>0.28568846216715621</v>
      </c>
    </row>
    <row r="74" spans="1:53" x14ac:dyDescent="0.2">
      <c r="B74" s="30" t="s">
        <v>85</v>
      </c>
      <c r="L74" s="28">
        <f>IFERROR(L73/H73-1,"n/a")</f>
        <v>7.3771021557837084</v>
      </c>
      <c r="M74" s="28">
        <f t="shared" ref="M74" si="389">IFERROR(M73/I73-1,"n/a")</f>
        <v>-0.77541235824008226</v>
      </c>
      <c r="N74" s="28">
        <f t="shared" ref="N74" si="390">IFERROR(N73/J73-1,"n/a")</f>
        <v>1.1993061720595617</v>
      </c>
      <c r="O74" s="28">
        <f t="shared" ref="O74" si="391">IFERROR(O73/K73-1,"n/a")</f>
        <v>-0.19145112535115727</v>
      </c>
      <c r="P74" s="28">
        <f t="shared" ref="P74" si="392">IFERROR(P73/L73-1,"n/a")</f>
        <v>1.0736568984697623</v>
      </c>
      <c r="Q74" s="28">
        <f t="shared" ref="Q74" si="393">IFERROR(Q73/M73-1,"n/a")</f>
        <v>0.10008568094883818</v>
      </c>
      <c r="R74" s="28">
        <f t="shared" ref="R74" si="394">IFERROR(R73/N73-1,"n/a")</f>
        <v>-0.53590597043739285</v>
      </c>
      <c r="S74" s="28">
        <f t="shared" ref="S74" si="395">IFERROR(S73/O73-1,"n/a")</f>
        <v>-4.0992757939854019E-2</v>
      </c>
      <c r="T74" s="28">
        <f t="shared" ref="T74" si="396">IFERROR(T73/P73-1,"n/a")</f>
        <v>-5.6916929350798395E-2</v>
      </c>
      <c r="U74" s="28">
        <f t="shared" ref="U74" si="397">IFERROR(U73/Q73-1,"n/a")</f>
        <v>-2.2182855142347249</v>
      </c>
      <c r="V74" s="28">
        <f t="shared" ref="V74" si="398">IFERROR(V73/R73-1,"n/a")</f>
        <v>-2.6510066078173185</v>
      </c>
      <c r="W74" s="28">
        <f t="shared" ref="W74" si="399">IFERROR(W73/S73-1,"n/a")</f>
        <v>-4.3729179811033756</v>
      </c>
      <c r="X74" s="28">
        <f t="shared" ref="X74" si="400">IFERROR(X73/T73-1,"n/a")</f>
        <v>-1.5195150370536838</v>
      </c>
      <c r="Y74" s="28">
        <f t="shared" ref="Y74" si="401">IFERROR(Y73/U73-1,"n/a")</f>
        <v>3.3540718075133684</v>
      </c>
      <c r="Z74" s="28">
        <f t="shared" ref="Z74" si="402">IFERROR(Z73/V73-1,"n/a")</f>
        <v>3.8785815922425977</v>
      </c>
      <c r="AA74" s="28">
        <f t="shared" ref="AA74" si="403">IFERROR(AA73/W73-1,"n/a")</f>
        <v>0.31949884804719253</v>
      </c>
      <c r="AB74" s="28">
        <f t="shared" ref="AB74" si="404">IFERROR(AB73/X73-1,"n/a")</f>
        <v>2.2162080870550911</v>
      </c>
      <c r="AC74" s="28">
        <f t="shared" ref="AC74" si="405">IFERROR(AC73/Y73-1,"n/a")</f>
        <v>0.4624020672478748</v>
      </c>
      <c r="AD74" s="28">
        <f t="shared" ref="AD74:AH74" si="406">IFERROR(AD73/Z73-1,"n/a")</f>
        <v>0.59592206782027834</v>
      </c>
      <c r="AE74" s="28">
        <f t="shared" si="406"/>
        <v>1.4572766269811464</v>
      </c>
      <c r="AF74" s="28">
        <f t="shared" si="406"/>
        <v>2.7485330533128942</v>
      </c>
      <c r="AG74" s="28">
        <f t="shared" si="406"/>
        <v>1.5603556322926275</v>
      </c>
      <c r="AH74" s="28">
        <f t="shared" si="406"/>
        <v>0.45847906892048229</v>
      </c>
      <c r="AI74" s="28">
        <f t="shared" ref="AI74:AJ74" si="407">IFERROR(AI73/AE73-1,"n/a")</f>
        <v>-3.8001807021861733E-2</v>
      </c>
      <c r="AJ74" s="28">
        <f t="shared" si="407"/>
        <v>-0.30250440028266012</v>
      </c>
      <c r="AK74" s="28">
        <f t="shared" ref="AK74" si="408">IFERROR(AK73/AG73-1,"n/a")</f>
        <v>-0.30065713201287636</v>
      </c>
      <c r="AL74" s="28">
        <f t="shared" ref="AL74" si="409">IFERROR(AL73/AH73-1,"n/a")</f>
        <v>1.1525648642935149E-2</v>
      </c>
      <c r="AM74" s="28">
        <f t="shared" ref="AM74" si="410">IFERROR(AM73/AI73-1,"n/a")</f>
        <v>0.26433771448140231</v>
      </c>
      <c r="AP74" s="28">
        <f>IFERROR(AP73/AO73-1,"n/a")</f>
        <v>1.046490501696312</v>
      </c>
      <c r="AQ74" s="28">
        <f t="shared" ref="AQ74" si="411">IFERROR(AQ73/AP73-1,"n/a")</f>
        <v>17.438276389562319</v>
      </c>
      <c r="AR74" s="28">
        <f t="shared" ref="AR74" si="412">IFERROR(AR73/AQ73-1,"n/a")</f>
        <v>-0.2094059477907847</v>
      </c>
      <c r="AS74" s="28">
        <f t="shared" ref="AS74" si="413">IFERROR(AS73/AR73-1,"n/a")</f>
        <v>9.8628857965678884E-2</v>
      </c>
      <c r="AT74" s="28">
        <f t="shared" ref="AT74" si="414">IFERROR(AT73/AS73-1,"n/a")</f>
        <v>-1.7352369987180616</v>
      </c>
      <c r="AU74" s="28">
        <f t="shared" ref="AU74:AV74" si="415">IFERROR(AU73/AT73-1,"n/a")</f>
        <v>3.4081441406851534</v>
      </c>
      <c r="AV74" s="28">
        <f t="shared" si="415"/>
        <v>0.9307583228046663</v>
      </c>
      <c r="AW74" s="28">
        <f t="shared" ref="AW74:AX74" si="416">IFERROR(AW73/AV73-1,"n/a")</f>
        <v>0.77813913260731549</v>
      </c>
      <c r="AX74" s="28">
        <f t="shared" si="416"/>
        <v>-0.11183804848454726</v>
      </c>
    </row>
    <row r="75" spans="1:53" x14ac:dyDescent="0.2">
      <c r="B75" s="30" t="s">
        <v>87</v>
      </c>
      <c r="H75" s="29">
        <f t="shared" ref="H75:AM75" si="417">IFERROR(H73/H16,"n/a")</f>
        <v>-0.18281978096264376</v>
      </c>
      <c r="I75" s="29">
        <f t="shared" si="417"/>
        <v>-2.449652017721367</v>
      </c>
      <c r="J75" s="29">
        <f t="shared" si="417"/>
        <v>-0.37642990874796661</v>
      </c>
      <c r="K75" s="29">
        <f t="shared" si="417"/>
        <v>-0.46709328497987751</v>
      </c>
      <c r="L75" s="29">
        <f t="shared" si="417"/>
        <v>-0.46654033570330411</v>
      </c>
      <c r="M75" s="29">
        <f t="shared" si="417"/>
        <v>-0.20444600335143678</v>
      </c>
      <c r="N75" s="29">
        <f t="shared" si="417"/>
        <v>-0.37157204175488046</v>
      </c>
      <c r="O75" s="29">
        <f t="shared" si="417"/>
        <v>-0.19784658667328342</v>
      </c>
      <c r="P75" s="29">
        <f t="shared" si="417"/>
        <v>-0.67225093062147889</v>
      </c>
      <c r="Q75" s="29">
        <f t="shared" si="417"/>
        <v>-0.13446564777503095</v>
      </c>
      <c r="R75" s="29">
        <f t="shared" si="417"/>
        <v>-9.1186339100768843E-2</v>
      </c>
      <c r="S75" s="29">
        <f t="shared" si="417"/>
        <v>-7.7135544916512283E-2</v>
      </c>
      <c r="T75" s="29">
        <f t="shared" si="417"/>
        <v>-0.18707707309828867</v>
      </c>
      <c r="U75" s="29">
        <f t="shared" si="417"/>
        <v>8.667273852284671E-2</v>
      </c>
      <c r="V75" s="29">
        <f t="shared" si="417"/>
        <v>9.9474382628131422E-2</v>
      </c>
      <c r="W75" s="29">
        <f t="shared" si="417"/>
        <v>0.25364481667895827</v>
      </c>
      <c r="X75" s="29">
        <f t="shared" si="417"/>
        <v>9.054527021850195E-2</v>
      </c>
      <c r="Y75" s="29">
        <f t="shared" si="417"/>
        <v>0.27663125014949308</v>
      </c>
      <c r="Z75" s="29">
        <f t="shared" si="417"/>
        <v>0.2939534598396859</v>
      </c>
      <c r="AA75" s="29">
        <f t="shared" si="417"/>
        <v>0.2288731439365134</v>
      </c>
      <c r="AB75" s="29">
        <f t="shared" si="417"/>
        <v>0.184100985597968</v>
      </c>
      <c r="AC75" s="29">
        <f t="shared" si="417"/>
        <v>0.24327798446954113</v>
      </c>
      <c r="AD75" s="29">
        <f t="shared" si="417"/>
        <v>0.24195135438767459</v>
      </c>
      <c r="AE75" s="29">
        <f t="shared" si="417"/>
        <v>0.25196564990534087</v>
      </c>
      <c r="AF75" s="29">
        <f t="shared" si="417"/>
        <v>0.29919406703623985</v>
      </c>
      <c r="AG75" s="29">
        <f t="shared" si="417"/>
        <v>0.33551095564226457</v>
      </c>
      <c r="AH75" s="29">
        <f t="shared" si="417"/>
        <v>0.24450308950078614</v>
      </c>
      <c r="AI75" s="29">
        <f t="shared" si="417"/>
        <v>0.19608500826956415</v>
      </c>
      <c r="AJ75" s="29">
        <f t="shared" si="417"/>
        <v>0.18999580492055054</v>
      </c>
      <c r="AK75" s="29">
        <f t="shared" si="417"/>
        <v>0.20482818167112224</v>
      </c>
      <c r="AL75" s="29">
        <f t="shared" si="417"/>
        <v>0.20631521318049822</v>
      </c>
      <c r="AM75" s="29">
        <f t="shared" si="417"/>
        <v>0.20500536439764297</v>
      </c>
      <c r="AO75" s="29">
        <f t="shared" ref="AO75:AX75" si="418">IFERROR(AO73/AO16,"n/a")</f>
        <v>-0.56690316600114099</v>
      </c>
      <c r="AP75" s="29">
        <f t="shared" si="418"/>
        <v>-0.33583628236384183</v>
      </c>
      <c r="AQ75" s="29">
        <f t="shared" si="418"/>
        <v>-0.82315161825580641</v>
      </c>
      <c r="AR75" s="29">
        <f t="shared" si="418"/>
        <v>-0.28326731114303866</v>
      </c>
      <c r="AS75" s="29">
        <f t="shared" si="418"/>
        <v>-0.15767407863243149</v>
      </c>
      <c r="AT75" s="29">
        <f t="shared" si="418"/>
        <v>7.3408903437393383E-2</v>
      </c>
      <c r="AU75" s="29">
        <f t="shared" si="418"/>
        <v>0.23286215097002147</v>
      </c>
      <c r="AV75" s="29">
        <f t="shared" si="418"/>
        <v>0.23703339703420545</v>
      </c>
      <c r="AW75" s="29">
        <f t="shared" si="418"/>
        <v>0.26551908031489108</v>
      </c>
      <c r="AX75" s="29">
        <f t="shared" si="418"/>
        <v>0.20218122272876252</v>
      </c>
    </row>
    <row r="76" spans="1:53" x14ac:dyDescent="0.2">
      <c r="AF76" s="33"/>
      <c r="AH76" s="10"/>
      <c r="AJ76" s="33"/>
      <c r="AT76" s="33"/>
      <c r="AU76" s="33"/>
      <c r="AV76" s="33"/>
      <c r="AW76" s="33"/>
      <c r="AX76" s="33"/>
    </row>
    <row r="77" spans="1:53" x14ac:dyDescent="0.2">
      <c r="A77" t="s">
        <v>252</v>
      </c>
      <c r="B77" t="s">
        <v>237</v>
      </c>
      <c r="H77" s="10">
        <f>+IFERROR(H575+H576+H619,"n/a")</f>
        <v>50.162999999999997</v>
      </c>
      <c r="I77" s="10">
        <f t="shared" ref="I77:AD77" si="419">+IFERROR(I575+I576+I619,"n/a")</f>
        <v>136.601</v>
      </c>
      <c r="J77" s="10">
        <f t="shared" si="419"/>
        <v>164.81899999999999</v>
      </c>
      <c r="K77" s="10">
        <f t="shared" si="419"/>
        <v>233.35700000000008</v>
      </c>
      <c r="L77" s="10">
        <f t="shared" si="419"/>
        <v>252.102</v>
      </c>
      <c r="M77" s="10">
        <f t="shared" si="419"/>
        <v>402.56799999999998</v>
      </c>
      <c r="N77" s="10">
        <f t="shared" si="419"/>
        <v>414.61500000000001</v>
      </c>
      <c r="O77" s="10">
        <f t="shared" si="419"/>
        <v>470.81399999999996</v>
      </c>
      <c r="P77" s="10">
        <f t="shared" si="419"/>
        <v>449.96000000000004</v>
      </c>
      <c r="Q77" s="10">
        <f t="shared" si="419"/>
        <v>821.80299999999988</v>
      </c>
      <c r="R77" s="10">
        <f t="shared" si="419"/>
        <v>466.85599999999999</v>
      </c>
      <c r="S77" s="10">
        <f t="shared" si="419"/>
        <v>650.01699999999994</v>
      </c>
      <c r="T77" s="10">
        <f t="shared" si="419"/>
        <v>953.63199999999995</v>
      </c>
      <c r="U77" s="10">
        <f t="shared" si="419"/>
        <v>549.49299999999994</v>
      </c>
      <c r="V77" s="10">
        <f t="shared" si="419"/>
        <v>631.92499999999995</v>
      </c>
      <c r="W77" s="10">
        <f t="shared" si="419"/>
        <v>914.66799999999967</v>
      </c>
      <c r="X77" s="10">
        <f t="shared" si="419"/>
        <v>796.26099999999997</v>
      </c>
      <c r="Y77" s="10">
        <f t="shared" si="419"/>
        <v>756.99099999999999</v>
      </c>
      <c r="Z77" s="10">
        <f t="shared" si="419"/>
        <v>1092.1500000000001</v>
      </c>
      <c r="AA77" s="10">
        <f t="shared" si="419"/>
        <v>1351.6979999999999</v>
      </c>
      <c r="AB77" s="10">
        <f t="shared" si="419"/>
        <v>1463.5989999999999</v>
      </c>
      <c r="AC77" s="10">
        <f t="shared" si="419"/>
        <v>2287.741</v>
      </c>
      <c r="AD77" s="10">
        <f t="shared" si="419"/>
        <v>2127.3560000000002</v>
      </c>
      <c r="AE77" s="10">
        <f t="shared" ref="AE77:AF77" si="420">+IFERROR(AE575+AE576+AE619,"n/a")</f>
        <v>4359.384</v>
      </c>
      <c r="AF77" s="10">
        <f t="shared" si="420"/>
        <v>5048.5889999999999</v>
      </c>
      <c r="AG77" s="10">
        <f t="shared" ref="AG77:AH77" si="421">+IFERROR(AG575+AG576+AG619,"n/a")</f>
        <v>4855.5919999999996</v>
      </c>
      <c r="AH77" s="10">
        <f t="shared" si="421"/>
        <v>5416.08</v>
      </c>
      <c r="AI77" s="58">
        <v>5000</v>
      </c>
      <c r="AJ77" s="58">
        <v>5000</v>
      </c>
      <c r="AK77" s="58">
        <v>5000</v>
      </c>
      <c r="AL77" s="58">
        <v>5000</v>
      </c>
      <c r="AM77" s="58">
        <v>5000</v>
      </c>
      <c r="AO77" s="10">
        <f t="shared" ref="AO77:AU77" si="422">+IFERROR(AO575+AO576+AO619,"n/a")</f>
        <v>4.46</v>
      </c>
      <c r="AP77" s="10">
        <f t="shared" si="422"/>
        <v>80.783000000000001</v>
      </c>
      <c r="AQ77" s="10">
        <f t="shared" si="422"/>
        <v>584.94000000000005</v>
      </c>
      <c r="AR77" s="10">
        <f t="shared" si="422"/>
        <v>1540.0990000000002</v>
      </c>
      <c r="AS77" s="10">
        <f t="shared" si="422"/>
        <v>2388.636</v>
      </c>
      <c r="AT77" s="10">
        <f t="shared" si="422"/>
        <v>3049.7179999999998</v>
      </c>
      <c r="AU77" s="10">
        <f t="shared" si="422"/>
        <v>3997.1</v>
      </c>
      <c r="AV77" s="10">
        <f t="shared" ref="AV77" si="423">+IFERROR(AV575+AV576+AV619,"n/a")</f>
        <v>10238.08</v>
      </c>
      <c r="AW77" s="10">
        <f t="shared" ref="AW77:AW82" si="424">+SUM(AF77:AI77)</f>
        <v>20320.260999999999</v>
      </c>
      <c r="AX77" s="10">
        <f t="shared" ref="AX77:AX82" si="425">+SUM(AJ77:AM77)</f>
        <v>20000</v>
      </c>
    </row>
    <row r="78" spans="1:53" ht="13.5" x14ac:dyDescent="0.35">
      <c r="A78" t="s">
        <v>253</v>
      </c>
      <c r="B78" t="s">
        <v>96</v>
      </c>
      <c r="H78" s="25">
        <f>IFERROR(SUM(H577:H579)+(H618-H571),"n/a")</f>
        <v>1.9489999999999998</v>
      </c>
      <c r="I78" s="25">
        <f t="shared" ref="I78:AD78" si="426">IFERROR(SUM(I577:I579)+(I618-I571),"n/a")</f>
        <v>5.7309999999999999</v>
      </c>
      <c r="J78" s="25">
        <f t="shared" si="426"/>
        <v>6.3369999999999997</v>
      </c>
      <c r="K78" s="25">
        <f t="shared" si="426"/>
        <v>-16.341000000000001</v>
      </c>
      <c r="L78" s="25">
        <f t="shared" si="426"/>
        <v>-9.2889999999999997</v>
      </c>
      <c r="M78" s="25">
        <f t="shared" si="426"/>
        <v>84.594999999999999</v>
      </c>
      <c r="N78" s="25">
        <f t="shared" si="426"/>
        <v>56.718000000000004</v>
      </c>
      <c r="O78" s="25">
        <f t="shared" si="426"/>
        <v>13.941000000000001</v>
      </c>
      <c r="P78" s="25">
        <f t="shared" si="426"/>
        <v>-31.664000000000001</v>
      </c>
      <c r="Q78" s="25">
        <f t="shared" si="426"/>
        <v>-174.23700000000002</v>
      </c>
      <c r="R78" s="25">
        <f t="shared" si="426"/>
        <v>303.89</v>
      </c>
      <c r="S78" s="25">
        <f t="shared" si="426"/>
        <v>231.983</v>
      </c>
      <c r="T78" s="25">
        <f t="shared" si="426"/>
        <v>183.67399999999998</v>
      </c>
      <c r="U78" s="25">
        <f t="shared" si="426"/>
        <v>391.94299999999998</v>
      </c>
      <c r="V78" s="25">
        <f t="shared" si="426"/>
        <v>27.260999999999996</v>
      </c>
      <c r="W78" s="25">
        <f t="shared" si="426"/>
        <v>192.19200000000004</v>
      </c>
      <c r="X78" s="25">
        <f t="shared" si="426"/>
        <v>325.45399999999995</v>
      </c>
      <c r="Y78" s="25">
        <f t="shared" si="426"/>
        <v>1089.345</v>
      </c>
      <c r="Z78" s="25">
        <f t="shared" si="426"/>
        <v>580.01600000000008</v>
      </c>
      <c r="AA78" s="25">
        <f t="shared" si="426"/>
        <v>298.4730000000003</v>
      </c>
      <c r="AB78" s="25">
        <f t="shared" si="426"/>
        <v>1691.759</v>
      </c>
      <c r="AC78" s="25">
        <f t="shared" si="426"/>
        <v>1520.8920000000001</v>
      </c>
      <c r="AD78" s="25">
        <f t="shared" si="426"/>
        <v>393.17900000000003</v>
      </c>
      <c r="AE78" s="25">
        <f t="shared" ref="AE78" si="427">IFERROR(SUM(AE577:AE579)+(AE618-AE571),"n/a")</f>
        <v>132.43700000000001</v>
      </c>
      <c r="AF78" s="25">
        <f t="shared" ref="AF78:AG78" si="428">IFERROR(SUM(AF577:AF579)+(AF618-AF571),"n/a")</f>
        <v>2121.203</v>
      </c>
      <c r="AG78" s="25">
        <f t="shared" si="428"/>
        <v>553.44000000000005</v>
      </c>
      <c r="AH78" s="25">
        <f t="shared" ref="AH78" si="429">IFERROR(SUM(AH577:AH579)+(AH618-AH571),"n/a")</f>
        <v>-528.73500000000001</v>
      </c>
      <c r="AI78" s="54">
        <v>500</v>
      </c>
      <c r="AJ78" s="54">
        <v>500</v>
      </c>
      <c r="AK78" s="54">
        <v>500</v>
      </c>
      <c r="AL78" s="54">
        <v>500</v>
      </c>
      <c r="AM78" s="54">
        <v>500</v>
      </c>
      <c r="AO78" s="25">
        <f t="shared" ref="AO78:AU78" si="430">IFERROR(SUM(AO577:AO579)+(AO618-AO571),"n/a")</f>
        <v>-10.227</v>
      </c>
      <c r="AP78" s="25">
        <f t="shared" si="430"/>
        <v>-10.174000000000001</v>
      </c>
      <c r="AQ78" s="25">
        <f t="shared" si="430"/>
        <v>-2.3239999999999998</v>
      </c>
      <c r="AR78" s="25">
        <f t="shared" si="430"/>
        <v>145.965</v>
      </c>
      <c r="AS78" s="25">
        <f t="shared" si="430"/>
        <v>329.971</v>
      </c>
      <c r="AT78" s="25">
        <f t="shared" si="430"/>
        <v>795.06999999999994</v>
      </c>
      <c r="AU78" s="25">
        <f t="shared" si="430"/>
        <v>2293.288</v>
      </c>
      <c r="AV78" s="25">
        <f t="shared" ref="AV78" si="431">IFERROR(SUM(AV577:AV579)+(AV618-AV571),"n/a")</f>
        <v>3738.2670000000003</v>
      </c>
      <c r="AW78" s="25">
        <f t="shared" si="424"/>
        <v>2645.9079999999999</v>
      </c>
      <c r="AX78" s="25">
        <f t="shared" si="425"/>
        <v>2000</v>
      </c>
    </row>
    <row r="79" spans="1:53" x14ac:dyDescent="0.2">
      <c r="B79" s="4" t="s">
        <v>97</v>
      </c>
      <c r="H79" s="10">
        <f t="shared" ref="H79:AD79" si="432">IFERROR(H73+H77+H78,"n/a")</f>
        <v>-201.02100000000036</v>
      </c>
      <c r="I79" s="10">
        <f t="shared" si="432"/>
        <v>-6493.8879999999999</v>
      </c>
      <c r="J79" s="10">
        <f t="shared" si="432"/>
        <v>-1098.3230000000001</v>
      </c>
      <c r="K79" s="10">
        <f t="shared" si="432"/>
        <v>-2423.8929999999987</v>
      </c>
      <c r="L79" s="10">
        <f t="shared" si="432"/>
        <v>-1877.7080000000005</v>
      </c>
      <c r="M79" s="10">
        <f t="shared" si="432"/>
        <v>-1003.2500000000009</v>
      </c>
      <c r="N79" s="10">
        <f t="shared" si="432"/>
        <v>-2320.6400000000003</v>
      </c>
      <c r="O79" s="10">
        <f t="shared" si="432"/>
        <v>-1650.5489999999998</v>
      </c>
      <c r="P79" s="10">
        <f t="shared" si="432"/>
        <v>-3978.9370000000004</v>
      </c>
      <c r="Q79" s="10">
        <f t="shared" si="432"/>
        <v>-992.0160000000019</v>
      </c>
      <c r="R79" s="10">
        <f t="shared" si="432"/>
        <v>-524.99200000000121</v>
      </c>
      <c r="S79" s="10">
        <f t="shared" si="432"/>
        <v>-1165.7719999999979</v>
      </c>
      <c r="T79" s="10">
        <f t="shared" si="432"/>
        <v>-3009.650000000001</v>
      </c>
      <c r="U79" s="10">
        <f t="shared" si="432"/>
        <v>2938.915</v>
      </c>
      <c r="V79" s="10">
        <f t="shared" si="432"/>
        <v>2798.4579999999983</v>
      </c>
      <c r="W79" s="10">
        <f t="shared" si="432"/>
        <v>8013.827000000013</v>
      </c>
      <c r="X79" s="10">
        <f t="shared" si="432"/>
        <v>3276.1209999999974</v>
      </c>
      <c r="Y79" s="10">
        <f t="shared" si="432"/>
        <v>10543.502999999997</v>
      </c>
      <c r="Z79" s="10">
        <f t="shared" si="432"/>
        <v>12108.778999999999</v>
      </c>
      <c r="AA79" s="10">
        <f t="shared" si="432"/>
        <v>10763.905999999992</v>
      </c>
      <c r="AB79" s="10">
        <f t="shared" si="432"/>
        <v>10084.376000000002</v>
      </c>
      <c r="AC79" s="10">
        <f t="shared" si="432"/>
        <v>16527.387999999995</v>
      </c>
      <c r="AD79" s="10">
        <f t="shared" si="432"/>
        <v>19176.555999999997</v>
      </c>
      <c r="AE79" s="10">
        <f t="shared" ref="AE79:AF79" si="433">IFERROR(AE73+AE77+AE78,"n/a")</f>
        <v>26886.789000000001</v>
      </c>
      <c r="AF79" s="10">
        <f t="shared" si="433"/>
        <v>33143.445000000007</v>
      </c>
      <c r="AG79" s="10">
        <f t="shared" ref="AG79:AH79" si="434">IFERROR(AG73+AG77+AG78,"n/a")</f>
        <v>37973.568000000007</v>
      </c>
      <c r="AH79" s="10">
        <f t="shared" si="434"/>
        <v>29179.802999999993</v>
      </c>
      <c r="AI79" s="10">
        <f t="shared" ref="AI79:AJ79" si="435">IFERROR(AI73+AI77+AI78,"n/a")</f>
        <v>27043.918747803229</v>
      </c>
      <c r="AJ79" s="10">
        <f t="shared" si="435"/>
        <v>23616.50867608509</v>
      </c>
      <c r="AK79" s="10">
        <f t="shared" ref="AK79:AM79" si="436">IFERROR(AK73+AK77+AK78,"n/a")</f>
        <v>28273.776000909937</v>
      </c>
      <c r="AL79" s="10">
        <f t="shared" si="436"/>
        <v>30072.444335581255</v>
      </c>
      <c r="AM79" s="10">
        <f t="shared" si="436"/>
        <v>32738.788990570567</v>
      </c>
      <c r="AO79" s="10">
        <f t="shared" ref="AO79:AU79" si="437">IFERROR(AO73+AO77+AO78,"n/a")</f>
        <v>-291.97600000000006</v>
      </c>
      <c r="AP79" s="10">
        <f t="shared" si="437"/>
        <v>-515.1149999999999</v>
      </c>
      <c r="AQ79" s="10">
        <f t="shared" si="437"/>
        <v>-10217.124999999998</v>
      </c>
      <c r="AR79" s="10">
        <f t="shared" si="437"/>
        <v>-6852.1470000000008</v>
      </c>
      <c r="AS79" s="10">
        <f t="shared" si="437"/>
        <v>-6661.7179999999989</v>
      </c>
      <c r="AT79" s="10">
        <f t="shared" si="437"/>
        <v>10741.55</v>
      </c>
      <c r="AU79" s="10">
        <f t="shared" si="437"/>
        <v>36692.309000000016</v>
      </c>
      <c r="AV79" s="10">
        <f t="shared" ref="AV79" si="438">IFERROR(AV73+AV77+AV78,"n/a")</f>
        <v>72675.108999999997</v>
      </c>
      <c r="AW79" s="10">
        <f t="shared" si="424"/>
        <v>127340.73474780322</v>
      </c>
      <c r="AX79" s="10">
        <f t="shared" si="425"/>
        <v>114701.51800314685</v>
      </c>
    </row>
    <row r="80" spans="1:53" x14ac:dyDescent="0.2">
      <c r="A80" t="s">
        <v>254</v>
      </c>
      <c r="B80" t="s">
        <v>98</v>
      </c>
      <c r="H80" s="10">
        <f>+H581</f>
        <v>0</v>
      </c>
      <c r="I80" s="10">
        <f t="shared" ref="I80:AD80" si="439">+I581</f>
        <v>0</v>
      </c>
      <c r="J80" s="10">
        <f t="shared" si="439"/>
        <v>0</v>
      </c>
      <c r="K80" s="10">
        <f t="shared" si="439"/>
        <v>0</v>
      </c>
      <c r="L80" s="10">
        <f t="shared" si="439"/>
        <v>0</v>
      </c>
      <c r="M80" s="10">
        <f t="shared" si="439"/>
        <v>0</v>
      </c>
      <c r="N80" s="10">
        <f t="shared" si="439"/>
        <v>0</v>
      </c>
      <c r="O80" s="10">
        <f t="shared" si="439"/>
        <v>0</v>
      </c>
      <c r="P80" s="10">
        <f t="shared" si="439"/>
        <v>0</v>
      </c>
      <c r="Q80" s="10">
        <f t="shared" si="439"/>
        <v>0</v>
      </c>
      <c r="R80" s="10">
        <f t="shared" si="439"/>
        <v>0</v>
      </c>
      <c r="S80" s="10">
        <f t="shared" si="439"/>
        <v>0</v>
      </c>
      <c r="T80" s="10">
        <f t="shared" si="439"/>
        <v>0</v>
      </c>
      <c r="U80" s="10">
        <f t="shared" si="439"/>
        <v>0</v>
      </c>
      <c r="V80" s="10">
        <f t="shared" si="439"/>
        <v>-854.76599999999996</v>
      </c>
      <c r="W80" s="10">
        <f t="shared" si="439"/>
        <v>-1078.819</v>
      </c>
      <c r="X80" s="10">
        <f t="shared" si="439"/>
        <v>-564.81399999999996</v>
      </c>
      <c r="Y80" s="10">
        <f t="shared" si="439"/>
        <v>-1558.0630000000001</v>
      </c>
      <c r="Z80" s="10">
        <f t="shared" si="439"/>
        <v>-1537.1769999999999</v>
      </c>
      <c r="AA80" s="10">
        <f t="shared" si="439"/>
        <v>-1065.6130000000003</v>
      </c>
      <c r="AB80" s="10">
        <f t="shared" si="439"/>
        <v>-1597.7750000000001</v>
      </c>
      <c r="AC80" s="10">
        <f t="shared" si="439"/>
        <v>-3158.442</v>
      </c>
      <c r="AD80" s="10">
        <f t="shared" si="439"/>
        <v>-3513.48</v>
      </c>
      <c r="AE80" s="10">
        <f t="shared" ref="AE80:AF80" si="440">+AE581</f>
        <v>-3580.2069999999999</v>
      </c>
      <c r="AF80" s="10">
        <f t="shared" si="440"/>
        <v>-5067.7520000000004</v>
      </c>
      <c r="AG80" s="10">
        <f t="shared" ref="AG80" si="441">+AG581</f>
        <v>-5914.6130000000003</v>
      </c>
      <c r="AH80" s="10">
        <f>+AH581</f>
        <v>-4201.62</v>
      </c>
      <c r="AI80" s="14">
        <f t="shared" ref="AI80" si="442">-AI88*AI79</f>
        <v>-4056.5878121704841</v>
      </c>
      <c r="AJ80" s="14">
        <f t="shared" ref="AJ80:AM80" si="443">-AJ88*AJ79</f>
        <v>-3542.4763014127634</v>
      </c>
      <c r="AK80" s="14">
        <f t="shared" si="443"/>
        <v>-4241.0664001364903</v>
      </c>
      <c r="AL80" s="14">
        <f t="shared" si="443"/>
        <v>-4510.8666503371878</v>
      </c>
      <c r="AM80" s="14">
        <f t="shared" si="443"/>
        <v>-4910.8183485855852</v>
      </c>
      <c r="AO80" s="10">
        <f t="shared" ref="AO80:AU81" si="444">+AO581</f>
        <v>0</v>
      </c>
      <c r="AP80" s="10">
        <f t="shared" si="444"/>
        <v>0</v>
      </c>
      <c r="AQ80" s="10">
        <f t="shared" si="444"/>
        <v>0</v>
      </c>
      <c r="AR80" s="10">
        <f t="shared" si="444"/>
        <v>0</v>
      </c>
      <c r="AS80" s="10">
        <f t="shared" si="444"/>
        <v>0</v>
      </c>
      <c r="AT80" s="10">
        <f t="shared" si="444"/>
        <v>-1933.585</v>
      </c>
      <c r="AU80" s="10">
        <f t="shared" si="444"/>
        <v>-4725.6670000000004</v>
      </c>
      <c r="AV80" s="10">
        <f t="shared" ref="AV80" si="445">+AV581</f>
        <v>-11849.904</v>
      </c>
      <c r="AW80" s="10">
        <f t="shared" si="424"/>
        <v>-19240.572812170485</v>
      </c>
      <c r="AX80" s="10">
        <f t="shared" si="425"/>
        <v>-17205.227700472027</v>
      </c>
    </row>
    <row r="81" spans="1:50" ht="13.5" x14ac:dyDescent="0.35">
      <c r="A81" t="s">
        <v>255</v>
      </c>
      <c r="B81" t="s">
        <v>99</v>
      </c>
      <c r="H81" s="25">
        <f>+H582</f>
        <v>0</v>
      </c>
      <c r="I81" s="25">
        <f t="shared" ref="I81:AD81" si="446">+I582</f>
        <v>0</v>
      </c>
      <c r="J81" s="25">
        <f t="shared" si="446"/>
        <v>0</v>
      </c>
      <c r="K81" s="25">
        <f t="shared" si="446"/>
        <v>0</v>
      </c>
      <c r="L81" s="25">
        <f t="shared" si="446"/>
        <v>0</v>
      </c>
      <c r="M81" s="25">
        <f t="shared" si="446"/>
        <v>0</v>
      </c>
      <c r="N81" s="25">
        <f t="shared" si="446"/>
        <v>-8.218</v>
      </c>
      <c r="O81" s="25">
        <f t="shared" si="446"/>
        <v>36.893999999999998</v>
      </c>
      <c r="P81" s="25">
        <f t="shared" si="446"/>
        <v>-0.08</v>
      </c>
      <c r="Q81" s="25">
        <f t="shared" si="446"/>
        <v>0.26400000000000001</v>
      </c>
      <c r="R81" s="25">
        <f t="shared" si="446"/>
        <v>35.457999999999998</v>
      </c>
      <c r="S81" s="25">
        <f t="shared" si="446"/>
        <v>48.012</v>
      </c>
      <c r="T81" s="25">
        <f t="shared" si="446"/>
        <v>146.50899999999999</v>
      </c>
      <c r="U81" s="25">
        <f t="shared" si="446"/>
        <v>-1.3720000000000001</v>
      </c>
      <c r="V81" s="25">
        <f t="shared" si="446"/>
        <v>85.010999999999996</v>
      </c>
      <c r="W81" s="25">
        <f t="shared" si="446"/>
        <v>16.680000000000035</v>
      </c>
      <c r="X81" s="25">
        <f t="shared" si="446"/>
        <v>-33.616</v>
      </c>
      <c r="Y81" s="25">
        <f t="shared" si="446"/>
        <v>-53.493000000000002</v>
      </c>
      <c r="Z81" s="25">
        <f t="shared" si="446"/>
        <v>10.731999999999999</v>
      </c>
      <c r="AA81" s="25">
        <f t="shared" si="446"/>
        <v>-78.907999999999987</v>
      </c>
      <c r="AB81" s="25">
        <f t="shared" si="446"/>
        <v>106.389</v>
      </c>
      <c r="AC81" s="25">
        <f t="shared" si="446"/>
        <v>9.7810000000000006</v>
      </c>
      <c r="AD81" s="25">
        <f t="shared" si="446"/>
        <v>-105.81100000000001</v>
      </c>
      <c r="AE81" s="25">
        <f t="shared" ref="AE81:AF81" si="447">+AE582</f>
        <v>-15.066000000000001</v>
      </c>
      <c r="AF81" s="25">
        <f t="shared" si="447"/>
        <v>-52.43</v>
      </c>
      <c r="AG81" s="25">
        <f t="shared" ref="AG81:AH81" si="448">+AG582</f>
        <v>-49.582999999999998</v>
      </c>
      <c r="AH81" s="25">
        <f t="shared" si="448"/>
        <v>2.5129999999999999</v>
      </c>
      <c r="AI81" s="54">
        <v>-50</v>
      </c>
      <c r="AJ81" s="54">
        <v>-50</v>
      </c>
      <c r="AK81" s="54">
        <v>-50</v>
      </c>
      <c r="AL81" s="54">
        <v>-50</v>
      </c>
      <c r="AM81" s="54">
        <v>-50</v>
      </c>
      <c r="AN81" s="16"/>
      <c r="AO81" s="25">
        <f t="shared" si="444"/>
        <v>0</v>
      </c>
      <c r="AP81" s="25">
        <f t="shared" si="444"/>
        <v>0</v>
      </c>
      <c r="AQ81" s="25">
        <f t="shared" si="444"/>
        <v>0</v>
      </c>
      <c r="AR81" s="25">
        <f t="shared" si="444"/>
        <v>28.675999999999998</v>
      </c>
      <c r="AS81" s="25">
        <f t="shared" si="444"/>
        <v>83.653999999999996</v>
      </c>
      <c r="AT81" s="25">
        <f t="shared" si="444"/>
        <v>246.828</v>
      </c>
      <c r="AU81" s="25">
        <f t="shared" si="444"/>
        <v>-155.285</v>
      </c>
      <c r="AV81" s="25">
        <f t="shared" ref="AV81" si="449">+AV582</f>
        <v>-4.7070000000000061</v>
      </c>
      <c r="AW81" s="25">
        <f t="shared" si="424"/>
        <v>-149.5</v>
      </c>
      <c r="AX81" s="25">
        <f t="shared" si="425"/>
        <v>-200</v>
      </c>
    </row>
    <row r="82" spans="1:50" x14ac:dyDescent="0.2">
      <c r="B82" s="4" t="s">
        <v>100</v>
      </c>
      <c r="H82" s="10">
        <f>+IFERROR(H79+H80+H81,"n/a")</f>
        <v>-201.02100000000036</v>
      </c>
      <c r="I82" s="10">
        <f t="shared" ref="I82:AI82" si="450">+IFERROR(I79+I80+I81,"n/a")</f>
        <v>-6493.8879999999999</v>
      </c>
      <c r="J82" s="10">
        <f t="shared" si="450"/>
        <v>-1098.3230000000001</v>
      </c>
      <c r="K82" s="10">
        <f t="shared" si="450"/>
        <v>-2423.8929999999987</v>
      </c>
      <c r="L82" s="10">
        <f t="shared" si="450"/>
        <v>-1877.7080000000005</v>
      </c>
      <c r="M82" s="10">
        <f t="shared" si="450"/>
        <v>-1003.2500000000009</v>
      </c>
      <c r="N82" s="10">
        <f t="shared" si="450"/>
        <v>-2328.8580000000002</v>
      </c>
      <c r="O82" s="10">
        <f t="shared" si="450"/>
        <v>-1613.6549999999997</v>
      </c>
      <c r="P82" s="10">
        <f t="shared" si="450"/>
        <v>-3979.0170000000003</v>
      </c>
      <c r="Q82" s="10">
        <f t="shared" si="450"/>
        <v>-991.75200000000189</v>
      </c>
      <c r="R82" s="10">
        <f t="shared" si="450"/>
        <v>-489.53400000000124</v>
      </c>
      <c r="S82" s="10">
        <f t="shared" si="450"/>
        <v>-1117.7599999999979</v>
      </c>
      <c r="T82" s="10">
        <f t="shared" si="450"/>
        <v>-2863.141000000001</v>
      </c>
      <c r="U82" s="10">
        <f t="shared" si="450"/>
        <v>2937.5430000000001</v>
      </c>
      <c r="V82" s="10">
        <f t="shared" si="450"/>
        <v>2028.7029999999982</v>
      </c>
      <c r="W82" s="10">
        <f t="shared" si="450"/>
        <v>6951.6880000000128</v>
      </c>
      <c r="X82" s="10">
        <f t="shared" si="450"/>
        <v>2677.6909999999975</v>
      </c>
      <c r="Y82" s="10">
        <f t="shared" si="450"/>
        <v>8931.9469999999965</v>
      </c>
      <c r="Z82" s="10">
        <f t="shared" si="450"/>
        <v>10582.333999999999</v>
      </c>
      <c r="AA82" s="10">
        <f t="shared" si="450"/>
        <v>9619.3849999999911</v>
      </c>
      <c r="AB82" s="10">
        <f t="shared" si="450"/>
        <v>8592.9900000000016</v>
      </c>
      <c r="AC82" s="10">
        <f t="shared" si="450"/>
        <v>13378.726999999997</v>
      </c>
      <c r="AD82" s="10">
        <f t="shared" si="450"/>
        <v>15557.264999999998</v>
      </c>
      <c r="AE82" s="10">
        <f t="shared" ref="AE82:AF82" si="451">+IFERROR(AE79+AE80+AE81,"n/a")</f>
        <v>23291.516000000003</v>
      </c>
      <c r="AF82" s="10">
        <f t="shared" si="451"/>
        <v>28023.263000000006</v>
      </c>
      <c r="AG82" s="10">
        <f t="shared" ref="AG82:AH82" si="452">+IFERROR(AG79+AG80+AG81,"n/a")</f>
        <v>32009.372000000007</v>
      </c>
      <c r="AH82" s="10">
        <f t="shared" si="452"/>
        <v>24980.695999999993</v>
      </c>
      <c r="AI82" s="10">
        <f t="shared" si="450"/>
        <v>22937.330935632745</v>
      </c>
      <c r="AJ82" s="10">
        <f t="shared" ref="AJ82:AM82" si="453">+IFERROR(AJ79+AJ80+AJ81,"n/a")</f>
        <v>20024.032374672326</v>
      </c>
      <c r="AK82" s="10">
        <f t="shared" si="453"/>
        <v>23982.709600773447</v>
      </c>
      <c r="AL82" s="10">
        <f t="shared" si="453"/>
        <v>25511.577685244069</v>
      </c>
      <c r="AM82" s="10">
        <f t="shared" si="453"/>
        <v>27777.970641984983</v>
      </c>
      <c r="AO82" s="10">
        <f t="shared" ref="AO82" si="454">+IFERROR(AO79+AO80+AO81,"n/a")</f>
        <v>-291.97600000000006</v>
      </c>
      <c r="AP82" s="10">
        <f t="shared" ref="AP82" si="455">+IFERROR(AP79+AP80+AP81,"n/a")</f>
        <v>-515.1149999999999</v>
      </c>
      <c r="AQ82" s="10">
        <f t="shared" ref="AQ82" si="456">+IFERROR(AQ79+AQ80+AQ81,"n/a")</f>
        <v>-10217.124999999998</v>
      </c>
      <c r="AR82" s="10">
        <f t="shared" ref="AR82" si="457">+IFERROR(AR79+AR80+AR81,"n/a")</f>
        <v>-6823.4710000000005</v>
      </c>
      <c r="AS82" s="10">
        <f t="shared" ref="AS82" si="458">+IFERROR(AS79+AS80+AS81,"n/a")</f>
        <v>-6578.0639999999985</v>
      </c>
      <c r="AT82" s="10">
        <f t="shared" ref="AT82" si="459">+IFERROR(AT79+AT80+AT81,"n/a")</f>
        <v>9054.7929999999997</v>
      </c>
      <c r="AU82" s="10">
        <f t="shared" ref="AU82:AV82" si="460">+IFERROR(AU79+AU80+AU81,"n/a")</f>
        <v>31811.357000000015</v>
      </c>
      <c r="AV82" s="10">
        <f t="shared" si="460"/>
        <v>60820.497999999992</v>
      </c>
      <c r="AW82" s="10">
        <f t="shared" si="424"/>
        <v>107950.66193563276</v>
      </c>
      <c r="AX82" s="10">
        <f t="shared" si="425"/>
        <v>97296.290302674824</v>
      </c>
    </row>
    <row r="83" spans="1:50" ht="13.5" x14ac:dyDescent="0.35">
      <c r="A83" t="s">
        <v>256</v>
      </c>
      <c r="B83" s="34" t="s">
        <v>102</v>
      </c>
      <c r="H83" s="35" t="str">
        <f>+IFERROR(H621/4,"n/a")</f>
        <v>n/a</v>
      </c>
      <c r="I83" s="35">
        <f t="shared" ref="I83:AD83" si="461">+IFERROR(I621/4,"n/a")</f>
        <v>485.13415149999997</v>
      </c>
      <c r="J83" s="35">
        <f t="shared" si="461"/>
        <v>919.51273824999998</v>
      </c>
      <c r="K83" s="35">
        <f t="shared" si="461"/>
        <v>1113.922172</v>
      </c>
      <c r="L83" s="35">
        <f t="shared" si="461"/>
        <v>1139.75425</v>
      </c>
      <c r="M83" s="35">
        <f t="shared" si="461"/>
        <v>1162.35725</v>
      </c>
      <c r="N83" s="35">
        <f t="shared" si="461"/>
        <v>1162.35725</v>
      </c>
      <c r="O83" s="35">
        <f t="shared" si="461"/>
        <v>1162.499</v>
      </c>
      <c r="P83" s="35">
        <f t="shared" si="461"/>
        <v>1162.528</v>
      </c>
      <c r="Q83" s="35">
        <f t="shared" si="461"/>
        <v>1195.3107500000001</v>
      </c>
      <c r="R83" s="35">
        <f t="shared" si="461"/>
        <v>1394.02325</v>
      </c>
      <c r="S83" s="35">
        <f t="shared" si="461"/>
        <v>1213.6492499999999</v>
      </c>
      <c r="T83" s="35">
        <f t="shared" si="461"/>
        <v>1245.8824999999999</v>
      </c>
      <c r="U83" s="35">
        <f t="shared" si="461"/>
        <v>1446.0519999999999</v>
      </c>
      <c r="V83" s="35">
        <f t="shared" si="461"/>
        <v>1441.8017500000001</v>
      </c>
      <c r="W83" s="35">
        <f t="shared" si="461"/>
        <v>1436.9459999999999</v>
      </c>
      <c r="X83" s="35">
        <f t="shared" si="461"/>
        <v>1422.0235</v>
      </c>
      <c r="Y83" s="35">
        <f t="shared" si="461"/>
        <v>1429.23675</v>
      </c>
      <c r="Z83" s="35">
        <f t="shared" si="461"/>
        <v>1444.04125</v>
      </c>
      <c r="AA83" s="35">
        <f t="shared" si="461"/>
        <v>1452.3030000000001</v>
      </c>
      <c r="AB83" s="35">
        <f t="shared" si="461"/>
        <v>1462.5944999999999</v>
      </c>
      <c r="AC83" s="35">
        <f t="shared" si="461"/>
        <v>1458.337</v>
      </c>
      <c r="AD83" s="35">
        <f t="shared" si="461"/>
        <v>1466.2755</v>
      </c>
      <c r="AE83" s="35">
        <f t="shared" ref="AE83:AF83" si="462">+IFERROR(AE621/4,"n/a")</f>
        <v>1470.7449999999999</v>
      </c>
      <c r="AF83" s="35">
        <f t="shared" si="462"/>
        <v>1476.7552499999999</v>
      </c>
      <c r="AG83" s="35">
        <f t="shared" ref="AG83:AH83" si="463">+IFERROR(AG621/4,"n/a")</f>
        <v>1481.4147499999999</v>
      </c>
      <c r="AH83" s="35">
        <f t="shared" si="463"/>
        <v>1477.4482499999999</v>
      </c>
      <c r="AI83" s="54">
        <f t="shared" ref="AI83:AJ83" si="464">+AH83</f>
        <v>1477.4482499999999</v>
      </c>
      <c r="AJ83" s="54">
        <f t="shared" si="464"/>
        <v>1477.4482499999999</v>
      </c>
      <c r="AK83" s="54">
        <f t="shared" ref="AK83" si="465">+AJ83</f>
        <v>1477.4482499999999</v>
      </c>
      <c r="AL83" s="54">
        <f t="shared" ref="AL83" si="466">+AK83</f>
        <v>1477.4482499999999</v>
      </c>
      <c r="AM83" s="54">
        <f t="shared" ref="AM83" si="467">+AL83</f>
        <v>1477.4482499999999</v>
      </c>
      <c r="AO83" s="35" t="str">
        <f t="shared" ref="AO83:AU83" si="468">+IFERROR(AO621/4,"n/a")</f>
        <v>n/a</v>
      </c>
      <c r="AP83" s="35" t="str">
        <f t="shared" si="468"/>
        <v>n/a</v>
      </c>
      <c r="AQ83" s="35">
        <f t="shared" si="468"/>
        <v>742.07988724999996</v>
      </c>
      <c r="AR83" s="35">
        <f t="shared" si="468"/>
        <v>1156.8195000000001</v>
      </c>
      <c r="AS83" s="35">
        <f t="shared" si="468"/>
        <v>1192.08575</v>
      </c>
      <c r="AT83" s="35">
        <f t="shared" si="468"/>
        <v>1446.11625</v>
      </c>
      <c r="AU83" s="35">
        <f t="shared" si="468"/>
        <v>1440.3228597499999</v>
      </c>
      <c r="AV83" s="35">
        <f t="shared" ref="AV83" si="469">+IFERROR(AV621/4,"n/a")</f>
        <v>1459.9075</v>
      </c>
      <c r="AW83" s="35">
        <f>+AVERAGE(AF83:AI83)</f>
        <v>1478.2666249999997</v>
      </c>
      <c r="AX83" s="25">
        <f>+AVERAGE(AJ83:AM83)</f>
        <v>1477.4482499999999</v>
      </c>
    </row>
    <row r="84" spans="1:50" s="1" customFormat="1" x14ac:dyDescent="0.2">
      <c r="B84" s="38" t="s">
        <v>101</v>
      </c>
      <c r="H84" s="50" t="str">
        <f>IFERROR(H82/H83,"n/a")</f>
        <v>n/a</v>
      </c>
      <c r="I84" s="50">
        <f t="shared" ref="I84:AD84" si="470">IFERROR(I82/I83,"n/a")</f>
        <v>-13.385757279551161</v>
      </c>
      <c r="J84" s="50">
        <f t="shared" si="470"/>
        <v>-1.1944619735125241</v>
      </c>
      <c r="K84" s="50">
        <f t="shared" si="470"/>
        <v>-2.1759985220942335</v>
      </c>
      <c r="L84" s="50">
        <f t="shared" si="470"/>
        <v>-1.6474674255437087</v>
      </c>
      <c r="M84" s="50">
        <f t="shared" si="470"/>
        <v>-0.86311673971147929</v>
      </c>
      <c r="N84" s="50">
        <f t="shared" si="470"/>
        <v>-2.0035647388098625</v>
      </c>
      <c r="O84" s="50">
        <f t="shared" si="470"/>
        <v>-1.3880915166378636</v>
      </c>
      <c r="P84" s="50">
        <f t="shared" si="470"/>
        <v>-3.4227278826832559</v>
      </c>
      <c r="Q84" s="50">
        <f t="shared" si="470"/>
        <v>-0.82970223433529888</v>
      </c>
      <c r="R84" s="50">
        <f t="shared" si="470"/>
        <v>-0.35116630945717819</v>
      </c>
      <c r="S84" s="50">
        <f t="shared" si="470"/>
        <v>-0.92099097000224572</v>
      </c>
      <c r="T84" s="50">
        <f t="shared" si="470"/>
        <v>-2.2980826843622904</v>
      </c>
      <c r="U84" s="50">
        <f t="shared" si="470"/>
        <v>2.0314227980736517</v>
      </c>
      <c r="V84" s="50">
        <f t="shared" si="470"/>
        <v>1.407060991568361</v>
      </c>
      <c r="W84" s="50">
        <f t="shared" si="470"/>
        <v>4.8378213238354215</v>
      </c>
      <c r="X84" s="50">
        <f t="shared" si="470"/>
        <v>1.8830145915310101</v>
      </c>
      <c r="Y84" s="50">
        <f t="shared" si="470"/>
        <v>6.2494523737932122</v>
      </c>
      <c r="Z84" s="50">
        <f t="shared" si="470"/>
        <v>7.328276806497044</v>
      </c>
      <c r="AA84" s="50">
        <f t="shared" si="470"/>
        <v>6.623538614187253</v>
      </c>
      <c r="AB84" s="50">
        <f t="shared" si="470"/>
        <v>5.8751690916381829</v>
      </c>
      <c r="AC84" s="50">
        <f t="shared" si="470"/>
        <v>9.1739611626119313</v>
      </c>
      <c r="AD84" s="50">
        <f t="shared" si="470"/>
        <v>10.61005588649609</v>
      </c>
      <c r="AE84" s="50">
        <f t="shared" ref="AE84:AF84" si="471">IFERROR(AE82/AE83,"n/a")</f>
        <v>15.836542704547698</v>
      </c>
      <c r="AF84" s="50">
        <f t="shared" si="471"/>
        <v>18.976240646512011</v>
      </c>
      <c r="AG84" s="50">
        <f t="shared" ref="AG84:AH84" si="472">IFERROR(AG82/AG83,"n/a")</f>
        <v>21.607299373791175</v>
      </c>
      <c r="AH84" s="50">
        <f t="shared" si="472"/>
        <v>16.908000669397385</v>
      </c>
      <c r="AI84" s="50">
        <f t="shared" ref="AI84" si="473">IFERROR(AI82/AI83,"n/a")</f>
        <v>15.524964028779177</v>
      </c>
      <c r="AJ84" s="50">
        <f t="shared" ref="AJ84:AM84" si="474">IFERROR(AJ82/AJ83,"n/a")</f>
        <v>13.55311928838951</v>
      </c>
      <c r="AK84" s="50">
        <f t="shared" si="474"/>
        <v>16.23252090269385</v>
      </c>
      <c r="AL84" s="50">
        <f t="shared" si="474"/>
        <v>17.26732404011042</v>
      </c>
      <c r="AM84" s="50">
        <f t="shared" si="474"/>
        <v>18.80131547212228</v>
      </c>
      <c r="AO84" s="50" t="str">
        <f t="shared" ref="AO84" si="475">IFERROR(AO82/AO83,"n/a")</f>
        <v>n/a</v>
      </c>
      <c r="AP84" s="50" t="str">
        <f t="shared" ref="AP84" si="476">IFERROR(AP82/AP83,"n/a")</f>
        <v>n/a</v>
      </c>
      <c r="AQ84" s="50">
        <f t="shared" ref="AQ84" si="477">IFERROR(AQ82/AQ83,"n/a")</f>
        <v>-13.768227889671859</v>
      </c>
      <c r="AR84" s="50">
        <f t="shared" ref="AR84" si="478">IFERROR(AR82/AR83,"n/a")</f>
        <v>-5.8984750862169939</v>
      </c>
      <c r="AS84" s="50">
        <f t="shared" ref="AS84" si="479">IFERROR(AS82/AS83,"n/a")</f>
        <v>-5.5181131055379185</v>
      </c>
      <c r="AT84" s="50">
        <f t="shared" ref="AT84" si="480">IFERROR(AT82/AT83,"n/a")</f>
        <v>6.2614558131132263</v>
      </c>
      <c r="AU84" s="50">
        <f t="shared" ref="AU84:AW84" si="481">IFERROR(AU82/AU83,"n/a")</f>
        <v>22.086268217336759</v>
      </c>
      <c r="AV84" s="50">
        <f t="shared" ref="AV84" si="482">IFERROR(AV82/AV83,"n/a")</f>
        <v>41.660514792889266</v>
      </c>
      <c r="AW84" s="50">
        <f t="shared" si="481"/>
        <v>73.025163465104129</v>
      </c>
      <c r="AX84" s="50">
        <f t="shared" ref="AX84" si="483">IFERROR(AX82/AX83,"n/a")</f>
        <v>65.854279703316053</v>
      </c>
    </row>
    <row r="85" spans="1:50" x14ac:dyDescent="0.2">
      <c r="B85" s="30" t="s">
        <v>85</v>
      </c>
      <c r="L85" s="46" t="str">
        <f>IFERROR(L84/H84-1,"n/a")</f>
        <v>n/a</v>
      </c>
      <c r="M85" s="28">
        <f t="shared" ref="M85" si="484">IFERROR(M84/I84-1,"n/a")</f>
        <v>-0.93551976763914391</v>
      </c>
      <c r="N85" s="28">
        <f t="shared" ref="N85" si="485">IFERROR(N84/J84-1,"n/a")</f>
        <v>0.67737842077804311</v>
      </c>
      <c r="O85" s="28">
        <f t="shared" ref="O85" si="486">IFERROR(O84/K84-1,"n/a")</f>
        <v>-0.36208986240398233</v>
      </c>
      <c r="P85" s="28">
        <f t="shared" ref="P85" si="487">IFERROR(P84/L84-1,"n/a")</f>
        <v>1.0775693829294761</v>
      </c>
      <c r="Q85" s="28">
        <f t="shared" ref="Q85" si="488">IFERROR(Q84/M84-1,"n/a")</f>
        <v>-3.8713772817510317E-2</v>
      </c>
      <c r="R85" s="28">
        <f t="shared" ref="R85" si="489">IFERROR(R84/N84-1,"n/a")</f>
        <v>-0.8247292425071453</v>
      </c>
      <c r="S85" s="28">
        <f t="shared" ref="S85" si="490">IFERROR(S84/O84-1,"n/a")</f>
        <v>-0.33650558413251852</v>
      </c>
      <c r="T85" s="28">
        <f t="shared" ref="T85" si="491">IFERROR(T84/P84-1,"n/a")</f>
        <v>-0.32858153989130368</v>
      </c>
      <c r="U85" s="28">
        <f t="shared" ref="U85" si="492">IFERROR(U84/Q84-1,"n/a")</f>
        <v>-3.4483757111984756</v>
      </c>
      <c r="V85" s="28">
        <f t="shared" ref="V85" si="493">IFERROR(V84/R84-1,"n/a")</f>
        <v>-5.0068222767250976</v>
      </c>
      <c r="W85" s="28">
        <f t="shared" ref="W85" si="494">IFERROR(W84/S84-1,"n/a")</f>
        <v>-6.2528433843641542</v>
      </c>
      <c r="X85" s="28">
        <f t="shared" ref="X85" si="495">IFERROR(X84/T84-1,"n/a")</f>
        <v>-1.8193850483902585</v>
      </c>
      <c r="Y85" s="28">
        <f t="shared" ref="Y85" si="496">IFERROR(Y84/U84-1,"n/a")</f>
        <v>2.0763917682323023</v>
      </c>
      <c r="Z85" s="28">
        <f t="shared" ref="Z85" si="497">IFERROR(Z84/V84-1,"n/a")</f>
        <v>4.2082154579018516</v>
      </c>
      <c r="AA85" s="28">
        <f t="shared" ref="AA85" si="498">IFERROR(AA84/W84-1,"n/a")</f>
        <v>0.36911600714846493</v>
      </c>
      <c r="AB85" s="28">
        <f t="shared" ref="AB85" si="499">IFERROR(AB84/X84-1,"n/a")</f>
        <v>2.1200868639373094</v>
      </c>
      <c r="AC85" s="28">
        <f t="shared" ref="AC85" si="500">IFERROR(AC84/Y84-1,"n/a")</f>
        <v>0.46796240916764331</v>
      </c>
      <c r="AD85" s="28">
        <f t="shared" ref="AD85:AH85" si="501">IFERROR(AD84/Z84-1,"n/a")</f>
        <v>0.44782411563513991</v>
      </c>
      <c r="AE85" s="28">
        <f t="shared" si="501"/>
        <v>1.3909489514602815</v>
      </c>
      <c r="AF85" s="28">
        <f t="shared" si="501"/>
        <v>2.2299054462142869</v>
      </c>
      <c r="AG85" s="28">
        <f t="shared" si="501"/>
        <v>1.3552856820291281</v>
      </c>
      <c r="AH85" s="28">
        <f t="shared" si="501"/>
        <v>0.59358262107902582</v>
      </c>
      <c r="AI85" s="28">
        <f t="shared" ref="AI85:AJ85" si="502">IFERROR(AI84/AE84-1,"n/a")</f>
        <v>-1.9674665208274655E-2</v>
      </c>
      <c r="AJ85" s="28">
        <f t="shared" si="502"/>
        <v>-0.28578481160436353</v>
      </c>
      <c r="AK85" s="28">
        <f t="shared" ref="AK85" si="503">IFERROR(AK84/AG84-1,"n/a")</f>
        <v>-0.24874827613194117</v>
      </c>
      <c r="AL85" s="28">
        <f t="shared" ref="AL85" si="504">IFERROR(AL84/AH84-1,"n/a")</f>
        <v>2.1251677104756173E-2</v>
      </c>
      <c r="AM85" s="28">
        <f t="shared" ref="AM85" si="505">IFERROR(AM84/AI84-1,"n/a")</f>
        <v>0.2110376189773846</v>
      </c>
      <c r="AP85" s="46" t="str">
        <f>IFERROR(AP84/AO84-1,"n/a")</f>
        <v>n/a</v>
      </c>
      <c r="AQ85" s="46" t="str">
        <f t="shared" ref="AQ85" si="506">IFERROR(AQ84/AP84-1,"n/a")</f>
        <v>n/a</v>
      </c>
      <c r="AR85" s="46">
        <f t="shared" ref="AR85" si="507">IFERROR(AR84/AQ84-1,"n/a")</f>
        <v>-0.57158792449668172</v>
      </c>
      <c r="AS85" s="46">
        <f t="shared" ref="AS85" si="508">IFERROR(AS84/AR84-1,"n/a")</f>
        <v>-6.4484799057279996E-2</v>
      </c>
      <c r="AT85" s="46">
        <f t="shared" ref="AT85" si="509">IFERROR(AT84/AS84-1,"n/a")</f>
        <v>-2.1347095815831132</v>
      </c>
      <c r="AU85" s="46">
        <f t="shared" ref="AU85:AV85" si="510">IFERROR(AU84/AT84-1,"n/a")</f>
        <v>2.5273375516093211</v>
      </c>
      <c r="AV85" s="46">
        <f t="shared" si="510"/>
        <v>0.88626319226656758</v>
      </c>
      <c r="AW85" s="46">
        <f t="shared" ref="AW85:AX85" si="511">IFERROR(AW84/AV84-1,"n/a")</f>
        <v>0.75286272452802883</v>
      </c>
      <c r="AX85" s="46">
        <f t="shared" si="511"/>
        <v>-9.8197435260994115E-2</v>
      </c>
    </row>
    <row r="86" spans="1:50" x14ac:dyDescent="0.2">
      <c r="A86" t="s">
        <v>306</v>
      </c>
      <c r="B86" s="30" t="s">
        <v>231</v>
      </c>
      <c r="H86" s="53">
        <f>+H620</f>
        <v>-267.90700000000021</v>
      </c>
      <c r="I86" s="53">
        <f t="shared" ref="I86:AD86" si="512">+I620</f>
        <v>-673.39800000000014</v>
      </c>
      <c r="J86" s="53">
        <f t="shared" si="512"/>
        <v>-618.8619999999994</v>
      </c>
      <c r="K86" s="53">
        <f t="shared" si="512"/>
        <v>-1895.8809999999996</v>
      </c>
      <c r="L86" s="53">
        <f t="shared" si="512"/>
        <v>-1379.076</v>
      </c>
      <c r="M86" s="53">
        <f t="shared" si="512"/>
        <v>-411.27500000000043</v>
      </c>
      <c r="N86" s="53">
        <f t="shared" si="512"/>
        <v>-1660.4309999999991</v>
      </c>
      <c r="O86" s="53">
        <f t="shared" si="512"/>
        <v>-814.98300000000017</v>
      </c>
      <c r="P86" s="53">
        <f t="shared" si="512"/>
        <v>-3169.6439999999998</v>
      </c>
      <c r="Q86" s="53">
        <f t="shared" si="512"/>
        <v>-77.24100000000044</v>
      </c>
      <c r="R86" s="53">
        <f t="shared" si="512"/>
        <v>466.39499999999691</v>
      </c>
      <c r="S86" s="53">
        <f t="shared" si="512"/>
        <v>-184.5299999999973</v>
      </c>
      <c r="T86" s="53">
        <f t="shared" si="512"/>
        <v>-1890.3320000000003</v>
      </c>
      <c r="U86" s="53">
        <f t="shared" si="512"/>
        <v>4125.3060000000014</v>
      </c>
      <c r="V86" s="53">
        <f t="shared" si="512"/>
        <v>3150.155999999999</v>
      </c>
      <c r="W86" s="53">
        <f t="shared" si="512"/>
        <v>8444.3930000000128</v>
      </c>
      <c r="X86" s="53">
        <f t="shared" si="512"/>
        <v>4200.4409999999998</v>
      </c>
      <c r="Y86" s="53">
        <f t="shared" si="512"/>
        <v>10776.294999999998</v>
      </c>
      <c r="Z86" s="53">
        <f t="shared" si="512"/>
        <v>12447.215999999997</v>
      </c>
      <c r="AA86" s="53">
        <f t="shared" si="512"/>
        <v>12105.769999999997</v>
      </c>
      <c r="AB86" s="53">
        <f t="shared" si="512"/>
        <v>10126.392000000003</v>
      </c>
      <c r="AC86" s="53">
        <f t="shared" si="512"/>
        <v>15269.355999999996</v>
      </c>
      <c r="AD86" s="53">
        <f t="shared" si="512"/>
        <v>17027.084000000003</v>
      </c>
      <c r="AE86" s="53">
        <f t="shared" ref="AE86:AF86" si="513">+AE620</f>
        <v>25476.459999999995</v>
      </c>
      <c r="AF86" s="53">
        <f t="shared" si="513"/>
        <v>30601.805000000011</v>
      </c>
      <c r="AG86" s="53">
        <f t="shared" ref="AG86:AH86" si="514">+AG620</f>
        <v>34432.134000000005</v>
      </c>
      <c r="AH86" s="53">
        <f t="shared" si="514"/>
        <v>27458.701000000001</v>
      </c>
      <c r="AI86" s="53">
        <f t="shared" ref="AI86" si="515">+AI82-AI72</f>
        <v>26115.335935632746</v>
      </c>
      <c r="AJ86" s="53">
        <f t="shared" ref="AJ86:AM86" si="516">+AJ82-AJ72</f>
        <v>22724.032374672326</v>
      </c>
      <c r="AK86" s="53">
        <f t="shared" si="516"/>
        <v>26682.709600773447</v>
      </c>
      <c r="AL86" s="53">
        <f t="shared" si="516"/>
        <v>28211.577685244069</v>
      </c>
      <c r="AM86" s="53">
        <f t="shared" si="516"/>
        <v>30977.970641984983</v>
      </c>
      <c r="AO86" s="53">
        <f t="shared" ref="AO86:AU86" si="517">+AO620</f>
        <v>-318.34199999999998</v>
      </c>
      <c r="AP86" s="53">
        <f t="shared" si="517"/>
        <v>-372.197</v>
      </c>
      <c r="AQ86" s="53">
        <f t="shared" si="517"/>
        <v>-3456.047999999998</v>
      </c>
      <c r="AR86" s="53">
        <f t="shared" si="517"/>
        <v>-4265.7649999999994</v>
      </c>
      <c r="AS86" s="53">
        <f t="shared" si="517"/>
        <v>-2965.020999999997</v>
      </c>
      <c r="AT86" s="53">
        <f t="shared" si="517"/>
        <v>13829.522999999994</v>
      </c>
      <c r="AU86" s="53">
        <f t="shared" si="517"/>
        <v>39529.722000000016</v>
      </c>
      <c r="AV86" s="53">
        <f t="shared" ref="AV86" si="518">+AV620</f>
        <v>67899.292000000001</v>
      </c>
      <c r="AW86" s="10">
        <f>+SUM(AF86:AI86)</f>
        <v>118607.97593563276</v>
      </c>
      <c r="AX86" s="10">
        <f>+SUM(AG86:AJ86)</f>
        <v>110730.20331030508</v>
      </c>
    </row>
    <row r="87" spans="1:50" x14ac:dyDescent="0.2">
      <c r="A87" t="s">
        <v>257</v>
      </c>
      <c r="B87" s="30" t="s">
        <v>103</v>
      </c>
      <c r="H87" s="27" t="str">
        <f>+H625</f>
        <v>n/a</v>
      </c>
      <c r="I87" s="27">
        <f t="shared" ref="I87:AD87" si="519">+I625</f>
        <v>-1.3880655441755685</v>
      </c>
      <c r="J87" s="27">
        <f t="shared" si="519"/>
        <v>-0.67303254675710789</v>
      </c>
      <c r="K87" s="27">
        <f t="shared" si="519"/>
        <v>-1.7019869499464453</v>
      </c>
      <c r="L87" s="27">
        <f t="shared" si="519"/>
        <v>-1.2099766243468713</v>
      </c>
      <c r="M87" s="27">
        <f t="shared" si="519"/>
        <v>-0.3538283948416035</v>
      </c>
      <c r="N87" s="27">
        <f t="shared" si="519"/>
        <v>-1.4285031559789376</v>
      </c>
      <c r="O87" s="27">
        <f t="shared" si="519"/>
        <v>-0.70106124822472982</v>
      </c>
      <c r="P87" s="27">
        <f t="shared" si="519"/>
        <v>-2.7265098130969747</v>
      </c>
      <c r="Q87" s="27">
        <f t="shared" si="519"/>
        <v>-6.4620016175710324E-2</v>
      </c>
      <c r="R87" s="27">
        <f t="shared" si="519"/>
        <v>0.33456759060510427</v>
      </c>
      <c r="S87" s="27">
        <f t="shared" si="519"/>
        <v>-0.15204557659471821</v>
      </c>
      <c r="T87" s="27">
        <f t="shared" si="519"/>
        <v>-1.5172634658565318</v>
      </c>
      <c r="U87" s="27">
        <f t="shared" si="519"/>
        <v>2.852806123154632</v>
      </c>
      <c r="V87" s="27">
        <f t="shared" si="519"/>
        <v>2.1848745848727114</v>
      </c>
      <c r="W87" s="27">
        <f t="shared" si="519"/>
        <v>5.8766251480570695</v>
      </c>
      <c r="X87" s="27">
        <f t="shared" si="519"/>
        <v>2.9538478091255169</v>
      </c>
      <c r="Y87" s="27">
        <f t="shared" si="519"/>
        <v>7.539894982409316</v>
      </c>
      <c r="Z87" s="27">
        <f t="shared" si="519"/>
        <v>8.6197094438957311</v>
      </c>
      <c r="AA87" s="27">
        <f t="shared" si="519"/>
        <v>8.3355677155524681</v>
      </c>
      <c r="AB87" s="27">
        <f t="shared" si="519"/>
        <v>6.9235813480769988</v>
      </c>
      <c r="AC87" s="27">
        <f t="shared" si="519"/>
        <v>10.470389217307108</v>
      </c>
      <c r="AD87" s="27">
        <f t="shared" si="519"/>
        <v>11.61247255375951</v>
      </c>
      <c r="AE87" s="27">
        <f t="shared" ref="AE87:AF87" si="520">+AE625</f>
        <v>17.322146259208768</v>
      </c>
      <c r="AF87" s="27">
        <f t="shared" si="520"/>
        <v>20.722326871700652</v>
      </c>
      <c r="AG87" s="27">
        <f t="shared" ref="AG87:AH87" si="521">+AG625</f>
        <v>23.242737390052319</v>
      </c>
      <c r="AH87" s="27">
        <f t="shared" si="521"/>
        <v>18.585220159149401</v>
      </c>
      <c r="AI87" s="131">
        <f t="shared" ref="AI87" si="522">+AI86/AI83</f>
        <v>17.675973378852863</v>
      </c>
      <c r="AJ87" s="131">
        <f t="shared" ref="AJ87:AM87" si="523">+AJ86/AJ83</f>
        <v>15.380594463915962</v>
      </c>
      <c r="AK87" s="131">
        <f t="shared" si="523"/>
        <v>18.059996078220301</v>
      </c>
      <c r="AL87" s="131">
        <f t="shared" si="523"/>
        <v>19.094799215636872</v>
      </c>
      <c r="AM87" s="131">
        <f t="shared" si="523"/>
        <v>20.967211976449924</v>
      </c>
      <c r="AO87" s="27" t="str">
        <f t="shared" ref="AO87:AU87" si="524">+AO625</f>
        <v>n/a</v>
      </c>
      <c r="AP87" s="27" t="str">
        <f t="shared" si="524"/>
        <v>n/a</v>
      </c>
      <c r="AQ87" s="27">
        <f t="shared" si="524"/>
        <v>-4.6572452095520642</v>
      </c>
      <c r="AR87" s="27">
        <f t="shared" si="524"/>
        <v>-3.6874940299675094</v>
      </c>
      <c r="AS87" s="27">
        <f t="shared" si="524"/>
        <v>-2.4872547968969489</v>
      </c>
      <c r="AT87" s="27">
        <f t="shared" si="524"/>
        <v>9.5632166501137057</v>
      </c>
      <c r="AU87" s="27">
        <f t="shared" si="524"/>
        <v>27.44504243087642</v>
      </c>
      <c r="AV87" s="27">
        <f t="shared" ref="AV87" si="525">+AV625</f>
        <v>46.509311035116951</v>
      </c>
      <c r="AW87" s="27">
        <f>+AW86/AW83</f>
        <v>80.234494867008706</v>
      </c>
      <c r="AX87" s="27">
        <f>+AX86/AX83</f>
        <v>74.94692508539984</v>
      </c>
    </row>
    <row r="88" spans="1:50" x14ac:dyDescent="0.2">
      <c r="B88" s="30" t="s">
        <v>303</v>
      </c>
      <c r="H88" s="27"/>
      <c r="I88" s="27"/>
      <c r="J88" s="27"/>
      <c r="K88" s="27"/>
      <c r="L88" s="28">
        <f>+IFERROR(-L80/L79,"n/a")</f>
        <v>0</v>
      </c>
      <c r="M88" s="28">
        <f t="shared" ref="M88:AW88" si="526">+IFERROR(-M80/M79,"n/a")</f>
        <v>0</v>
      </c>
      <c r="N88" s="28">
        <f t="shared" si="526"/>
        <v>0</v>
      </c>
      <c r="O88" s="28">
        <f t="shared" si="526"/>
        <v>0</v>
      </c>
      <c r="P88" s="28">
        <f t="shared" si="526"/>
        <v>0</v>
      </c>
      <c r="Q88" s="28">
        <f t="shared" si="526"/>
        <v>0</v>
      </c>
      <c r="R88" s="28">
        <f t="shared" si="526"/>
        <v>0</v>
      </c>
      <c r="S88" s="28">
        <f t="shared" si="526"/>
        <v>0</v>
      </c>
      <c r="T88" s="28">
        <f t="shared" si="526"/>
        <v>0</v>
      </c>
      <c r="U88" s="28">
        <f t="shared" si="526"/>
        <v>0</v>
      </c>
      <c r="V88" s="28">
        <f t="shared" si="526"/>
        <v>0.30544178258169336</v>
      </c>
      <c r="W88" s="28">
        <f t="shared" si="526"/>
        <v>0.13461970167312048</v>
      </c>
      <c r="X88" s="28">
        <f t="shared" si="526"/>
        <v>0.17240327814509918</v>
      </c>
      <c r="Y88" s="28">
        <f t="shared" si="526"/>
        <v>0.14777470068534154</v>
      </c>
      <c r="Z88" s="28">
        <f t="shared" si="526"/>
        <v>0.12694731648830984</v>
      </c>
      <c r="AA88" s="28">
        <f t="shared" si="526"/>
        <v>9.8998727785248319E-2</v>
      </c>
      <c r="AB88" s="28">
        <f t="shared" si="526"/>
        <v>0.15844064124542756</v>
      </c>
      <c r="AC88" s="28">
        <f t="shared" si="526"/>
        <v>0.19110351859592095</v>
      </c>
      <c r="AD88" s="28">
        <f t="shared" si="526"/>
        <v>0.18321746616024279</v>
      </c>
      <c r="AE88" s="28">
        <f t="shared" ref="AE88:AF88" si="527">+IFERROR(-AE80/AE79,"n/a")</f>
        <v>0.13315859324071758</v>
      </c>
      <c r="AF88" s="28">
        <f t="shared" si="527"/>
        <v>0.15290359828315975</v>
      </c>
      <c r="AG88" s="28">
        <f t="shared" ref="AG88:AH88" si="528">+IFERROR(-AG80/AG79,"n/a")</f>
        <v>0.15575605115642541</v>
      </c>
      <c r="AH88" s="28">
        <f t="shared" si="528"/>
        <v>0.14399069109548138</v>
      </c>
      <c r="AI88" s="170">
        <v>0.15</v>
      </c>
      <c r="AJ88" s="170">
        <v>0.15</v>
      </c>
      <c r="AK88" s="170">
        <v>0.15</v>
      </c>
      <c r="AL88" s="170">
        <v>0.15</v>
      </c>
      <c r="AM88" s="170">
        <v>0.15</v>
      </c>
      <c r="AO88" s="28">
        <f t="shared" si="526"/>
        <v>0</v>
      </c>
      <c r="AP88" s="28">
        <f t="shared" si="526"/>
        <v>0</v>
      </c>
      <c r="AQ88" s="28">
        <f t="shared" si="526"/>
        <v>0</v>
      </c>
      <c r="AR88" s="28">
        <f t="shared" si="526"/>
        <v>0</v>
      </c>
      <c r="AS88" s="28">
        <f t="shared" si="526"/>
        <v>0</v>
      </c>
      <c r="AT88" s="28">
        <f t="shared" si="526"/>
        <v>0.18000986822199777</v>
      </c>
      <c r="AU88" s="28">
        <f t="shared" si="526"/>
        <v>0.12879175851266264</v>
      </c>
      <c r="AV88" s="28">
        <f t="shared" ref="AV88" si="529">+IFERROR(-AV80/AV79,"n/a")</f>
        <v>0.16305313006135294</v>
      </c>
      <c r="AW88" s="28">
        <f t="shared" si="526"/>
        <v>0.15109519236147181</v>
      </c>
      <c r="AX88" s="28">
        <f t="shared" ref="AX88" si="530">+IFERROR(-AX80/AX79,"n/a")</f>
        <v>0.15</v>
      </c>
    </row>
    <row r="89" spans="1:50" x14ac:dyDescent="0.2">
      <c r="AD89" s="10"/>
    </row>
    <row r="90" spans="1:50" x14ac:dyDescent="0.2">
      <c r="B90" s="24" t="s">
        <v>215</v>
      </c>
    </row>
    <row r="91" spans="1:50" x14ac:dyDescent="0.2">
      <c r="B91" t="s">
        <v>95</v>
      </c>
      <c r="H91" s="10">
        <f>+H73</f>
        <v>-253.13300000000038</v>
      </c>
      <c r="I91" s="10">
        <f t="shared" ref="I91:AD91" si="531">+I73</f>
        <v>-6636.2199999999993</v>
      </c>
      <c r="J91" s="10">
        <f t="shared" si="531"/>
        <v>-1269.479</v>
      </c>
      <c r="K91" s="10">
        <f t="shared" si="531"/>
        <v>-2640.9089999999987</v>
      </c>
      <c r="L91" s="10">
        <f t="shared" si="531"/>
        <v>-2120.5210000000006</v>
      </c>
      <c r="M91" s="10">
        <f t="shared" si="531"/>
        <v>-1490.4130000000009</v>
      </c>
      <c r="N91" s="10">
        <f t="shared" si="531"/>
        <v>-2791.9730000000004</v>
      </c>
      <c r="O91" s="10">
        <f t="shared" si="531"/>
        <v>-2135.3039999999996</v>
      </c>
      <c r="P91" s="10">
        <f t="shared" si="531"/>
        <v>-4397.2330000000002</v>
      </c>
      <c r="Q91" s="10">
        <f t="shared" si="531"/>
        <v>-1639.5820000000017</v>
      </c>
      <c r="R91" s="10">
        <f t="shared" si="531"/>
        <v>-1295.7380000000012</v>
      </c>
      <c r="S91" s="10">
        <f t="shared" si="531"/>
        <v>-2047.7719999999977</v>
      </c>
      <c r="T91" s="10">
        <f t="shared" si="531"/>
        <v>-4146.956000000001</v>
      </c>
      <c r="U91" s="10">
        <f t="shared" si="531"/>
        <v>1997.4790000000003</v>
      </c>
      <c r="V91" s="10">
        <f t="shared" si="531"/>
        <v>2139.2719999999986</v>
      </c>
      <c r="W91" s="10">
        <f t="shared" si="531"/>
        <v>6906.9670000000133</v>
      </c>
      <c r="X91" s="10">
        <f t="shared" si="531"/>
        <v>2154.4059999999972</v>
      </c>
      <c r="Y91" s="10">
        <f t="shared" si="531"/>
        <v>8697.1669999999976</v>
      </c>
      <c r="Z91" s="10">
        <f t="shared" si="531"/>
        <v>10436.612999999999</v>
      </c>
      <c r="AA91" s="10">
        <f t="shared" si="531"/>
        <v>9113.7349999999915</v>
      </c>
      <c r="AB91" s="10">
        <f t="shared" si="531"/>
        <v>6929.0180000000018</v>
      </c>
      <c r="AC91" s="10">
        <f t="shared" si="531"/>
        <v>12718.754999999994</v>
      </c>
      <c r="AD91" s="10">
        <f t="shared" si="531"/>
        <v>16656.020999999997</v>
      </c>
      <c r="AE91" s="10">
        <f t="shared" ref="AE91:AF91" si="532">+AE73</f>
        <v>22394.967999999997</v>
      </c>
      <c r="AF91" s="10">
        <f t="shared" si="532"/>
        <v>25973.653000000009</v>
      </c>
      <c r="AG91" s="10">
        <f t="shared" ref="AG91:AI91" si="533">+AG73</f>
        <v>32564.536000000004</v>
      </c>
      <c r="AH91" s="10">
        <f t="shared" si="533"/>
        <v>24292.457999999995</v>
      </c>
      <c r="AI91" s="10">
        <f t="shared" si="533"/>
        <v>21543.918747803229</v>
      </c>
      <c r="AJ91" s="10">
        <f t="shared" ref="AJ91:AM91" si="534">+AJ73</f>
        <v>18116.50867608509</v>
      </c>
      <c r="AK91" s="10">
        <f t="shared" si="534"/>
        <v>22773.776000909937</v>
      </c>
      <c r="AL91" s="10">
        <f t="shared" si="534"/>
        <v>24572.444335581255</v>
      </c>
      <c r="AM91" s="10">
        <f t="shared" si="534"/>
        <v>27238.788990570567</v>
      </c>
      <c r="AO91" s="10">
        <f t="shared" ref="AO91:AU91" si="535">+AO73</f>
        <v>-286.20900000000006</v>
      </c>
      <c r="AP91" s="10">
        <f t="shared" si="535"/>
        <v>-585.72399999999993</v>
      </c>
      <c r="AQ91" s="10">
        <f t="shared" si="535"/>
        <v>-10799.740999999998</v>
      </c>
      <c r="AR91" s="10">
        <f t="shared" si="535"/>
        <v>-8538.2110000000011</v>
      </c>
      <c r="AS91" s="10">
        <f t="shared" si="535"/>
        <v>-9380.3249999999989</v>
      </c>
      <c r="AT91" s="10">
        <f t="shared" si="535"/>
        <v>6896.7619999999988</v>
      </c>
      <c r="AU91" s="10">
        <f t="shared" si="535"/>
        <v>30401.921000000017</v>
      </c>
      <c r="AV91" s="10">
        <f t="shared" ref="AV91" si="536">+AV73</f>
        <v>58698.761999999995</v>
      </c>
      <c r="AW91" s="10">
        <f>+SUM(AF91:AI91)</f>
        <v>104374.56574780324</v>
      </c>
      <c r="AX91" s="10">
        <f t="shared" ref="AX91" si="537">+SUM(AJ91:AM91)</f>
        <v>92701.518003146848</v>
      </c>
    </row>
    <row r="92" spans="1:50" ht="13.5" x14ac:dyDescent="0.35">
      <c r="A92" t="s">
        <v>216</v>
      </c>
      <c r="B92" t="s">
        <v>217</v>
      </c>
      <c r="H92" s="57">
        <f>+$AQ92/4</f>
        <v>124.25075</v>
      </c>
      <c r="I92" s="57">
        <f t="shared" ref="I92:K92" si="538">+$AQ92/4</f>
        <v>124.25075</v>
      </c>
      <c r="J92" s="57">
        <f t="shared" si="538"/>
        <v>124.25075</v>
      </c>
      <c r="K92" s="57">
        <f t="shared" si="538"/>
        <v>124.25075</v>
      </c>
      <c r="L92" s="57">
        <f>+$AR92/4</f>
        <v>159.45775</v>
      </c>
      <c r="M92" s="57">
        <f t="shared" ref="M92:O92" si="539">+$AR92/4</f>
        <v>159.45775</v>
      </c>
      <c r="N92" s="57">
        <f t="shared" si="539"/>
        <v>159.45775</v>
      </c>
      <c r="O92" s="57">
        <f t="shared" si="539"/>
        <v>159.45775</v>
      </c>
      <c r="P92" s="57">
        <f>+$AS92/4</f>
        <v>162.88075000000001</v>
      </c>
      <c r="Q92" s="57">
        <f t="shared" ref="Q92:S92" si="540">+$AS92/4</f>
        <v>162.88075000000001</v>
      </c>
      <c r="R92" s="57">
        <f t="shared" si="540"/>
        <v>162.88075000000001</v>
      </c>
      <c r="S92" s="57">
        <f t="shared" si="540"/>
        <v>162.88075000000001</v>
      </c>
      <c r="T92" s="57">
        <f>+$AT92/4</f>
        <v>373.84500000000003</v>
      </c>
      <c r="U92" s="57">
        <f t="shared" ref="U92:W92" si="541">+$AT92/4</f>
        <v>373.84500000000003</v>
      </c>
      <c r="V92" s="57">
        <f t="shared" si="541"/>
        <v>373.84500000000003</v>
      </c>
      <c r="W92" s="57">
        <f t="shared" si="541"/>
        <v>373.84500000000003</v>
      </c>
      <c r="X92" s="57">
        <f>+$AU92/4</f>
        <v>556.04224999999997</v>
      </c>
      <c r="Y92" s="57">
        <f t="shared" ref="Y92:AA92" si="542">+$AU92/4</f>
        <v>556.04224999999997</v>
      </c>
      <c r="Z92" s="57">
        <f t="shared" si="542"/>
        <v>556.04224999999997</v>
      </c>
      <c r="AA92" s="57">
        <f t="shared" si="542"/>
        <v>556.04224999999997</v>
      </c>
      <c r="AB92" s="57">
        <f>+$AV92/4</f>
        <v>196.55875</v>
      </c>
      <c r="AC92" s="57">
        <f t="shared" ref="AC92:AE92" si="543">+$AV92/4</f>
        <v>196.55875</v>
      </c>
      <c r="AD92" s="57">
        <f t="shared" si="543"/>
        <v>196.55875</v>
      </c>
      <c r="AE92" s="57">
        <f t="shared" si="543"/>
        <v>196.55875</v>
      </c>
      <c r="AF92" s="57">
        <f t="shared" ref="AF92:AI92" si="544">+$AW92/4</f>
        <v>459.72705292973092</v>
      </c>
      <c r="AG92" s="57">
        <f t="shared" si="544"/>
        <v>459.72705292973092</v>
      </c>
      <c r="AH92" s="57">
        <f t="shared" si="544"/>
        <v>459.72705292973092</v>
      </c>
      <c r="AI92" s="57">
        <f t="shared" si="544"/>
        <v>459.72705292973092</v>
      </c>
      <c r="AJ92" s="57">
        <f>+$AX92/4</f>
        <v>516.25</v>
      </c>
      <c r="AK92" s="57">
        <f t="shared" ref="AK92:AM92" si="545">+$AX92/4</f>
        <v>516.25</v>
      </c>
      <c r="AL92" s="57">
        <f t="shared" si="545"/>
        <v>516.25</v>
      </c>
      <c r="AM92" s="57">
        <f t="shared" si="545"/>
        <v>516.25</v>
      </c>
      <c r="AO92" s="35">
        <f t="shared" ref="AO92:AU92" si="546">+AO650</f>
        <v>0.75600000000000001</v>
      </c>
      <c r="AP92" s="35">
        <f t="shared" si="546"/>
        <v>2.2650000000000001</v>
      </c>
      <c r="AQ92" s="35">
        <f t="shared" si="546"/>
        <v>497.00299999999999</v>
      </c>
      <c r="AR92" s="35">
        <f t="shared" si="546"/>
        <v>637.83100000000002</v>
      </c>
      <c r="AS92" s="35">
        <f t="shared" si="546"/>
        <v>651.52300000000002</v>
      </c>
      <c r="AT92" s="35">
        <f t="shared" si="546"/>
        <v>1495.38</v>
      </c>
      <c r="AU92" s="35">
        <f t="shared" si="546"/>
        <v>2224.1689999999999</v>
      </c>
      <c r="AV92" s="35">
        <f t="shared" ref="AV92" si="547">+AV650</f>
        <v>786.23500000000001</v>
      </c>
      <c r="AW92" s="54">
        <v>1838.9082117189237</v>
      </c>
      <c r="AX92" s="54">
        <v>2065</v>
      </c>
    </row>
    <row r="93" spans="1:50" s="1" customFormat="1" x14ac:dyDescent="0.2">
      <c r="B93" s="38" t="s">
        <v>218</v>
      </c>
      <c r="H93" s="41">
        <f>IFERROR(H91+H92,"n/a")</f>
        <v>-128.8822500000004</v>
      </c>
      <c r="I93" s="41">
        <f t="shared" ref="I93:AD93" si="548">IFERROR(I91+I92,"n/a")</f>
        <v>-6511.9692499999992</v>
      </c>
      <c r="J93" s="41">
        <f t="shared" si="548"/>
        <v>-1145.2282500000001</v>
      </c>
      <c r="K93" s="41">
        <f t="shared" si="548"/>
        <v>-2516.6582499999986</v>
      </c>
      <c r="L93" s="41">
        <f t="shared" si="548"/>
        <v>-1961.0632500000006</v>
      </c>
      <c r="M93" s="41">
        <f t="shared" si="548"/>
        <v>-1330.9552500000009</v>
      </c>
      <c r="N93" s="41">
        <f t="shared" si="548"/>
        <v>-2632.5152500000004</v>
      </c>
      <c r="O93" s="41">
        <f t="shared" si="548"/>
        <v>-1975.8462499999996</v>
      </c>
      <c r="P93" s="41">
        <f t="shared" si="548"/>
        <v>-4234.3522499999999</v>
      </c>
      <c r="Q93" s="41">
        <f t="shared" si="548"/>
        <v>-1476.7012500000017</v>
      </c>
      <c r="R93" s="41">
        <f t="shared" si="548"/>
        <v>-1132.8572500000012</v>
      </c>
      <c r="S93" s="41">
        <f t="shared" si="548"/>
        <v>-1884.8912499999976</v>
      </c>
      <c r="T93" s="41">
        <f t="shared" si="548"/>
        <v>-3773.1110000000008</v>
      </c>
      <c r="U93" s="41">
        <f t="shared" si="548"/>
        <v>2371.3240000000005</v>
      </c>
      <c r="V93" s="41">
        <f t="shared" si="548"/>
        <v>2513.1169999999984</v>
      </c>
      <c r="W93" s="41">
        <f t="shared" si="548"/>
        <v>7280.8120000000135</v>
      </c>
      <c r="X93" s="41">
        <f t="shared" si="548"/>
        <v>2710.4482499999972</v>
      </c>
      <c r="Y93" s="41">
        <f t="shared" si="548"/>
        <v>9253.2092499999981</v>
      </c>
      <c r="Z93" s="41">
        <f t="shared" si="548"/>
        <v>10992.65525</v>
      </c>
      <c r="AA93" s="41">
        <f t="shared" si="548"/>
        <v>9669.7772499999919</v>
      </c>
      <c r="AB93" s="41">
        <f t="shared" si="548"/>
        <v>7125.576750000002</v>
      </c>
      <c r="AC93" s="41">
        <f t="shared" si="548"/>
        <v>12915.313749999994</v>
      </c>
      <c r="AD93" s="41">
        <f t="shared" si="548"/>
        <v>16852.579749999997</v>
      </c>
      <c r="AE93" s="41">
        <f t="shared" ref="AE93:AF93" si="549">IFERROR(AE91+AE92,"n/a")</f>
        <v>22591.526749999997</v>
      </c>
      <c r="AF93" s="41">
        <f t="shared" si="549"/>
        <v>26433.38005292974</v>
      </c>
      <c r="AG93" s="41">
        <f t="shared" ref="AG93:AI93" si="550">IFERROR(AG91+AG92,"n/a")</f>
        <v>33024.263052929731</v>
      </c>
      <c r="AH93" s="41">
        <f t="shared" si="550"/>
        <v>24752.185052929726</v>
      </c>
      <c r="AI93" s="41">
        <f t="shared" si="550"/>
        <v>22003.64580073296</v>
      </c>
      <c r="AJ93" s="41">
        <f t="shared" ref="AJ93:AM93" si="551">IFERROR(AJ91+AJ92,"n/a")</f>
        <v>18632.75867608509</v>
      </c>
      <c r="AK93" s="41">
        <f t="shared" si="551"/>
        <v>23290.026000909937</v>
      </c>
      <c r="AL93" s="41">
        <f t="shared" si="551"/>
        <v>25088.694335581255</v>
      </c>
      <c r="AM93" s="41">
        <f t="shared" si="551"/>
        <v>27755.038990570567</v>
      </c>
      <c r="AO93" s="41">
        <f t="shared" ref="AO93" si="552">IFERROR(AO91+AO92,"n/a")</f>
        <v>-285.45300000000009</v>
      </c>
      <c r="AP93" s="41">
        <f t="shared" ref="AP93" si="553">IFERROR(AP91+AP92,"n/a")</f>
        <v>-583.45899999999995</v>
      </c>
      <c r="AQ93" s="41">
        <f t="shared" ref="AQ93" si="554">IFERROR(AQ91+AQ92,"n/a")</f>
        <v>-10302.737999999998</v>
      </c>
      <c r="AR93" s="41">
        <f t="shared" ref="AR93" si="555">IFERROR(AR91+AR92,"n/a")</f>
        <v>-7900.380000000001</v>
      </c>
      <c r="AS93" s="41">
        <f t="shared" ref="AS93" si="556">IFERROR(AS91+AS92,"n/a")</f>
        <v>-8728.8019999999997</v>
      </c>
      <c r="AT93" s="41">
        <f t="shared" ref="AT93" si="557">IFERROR(AT91+AT92,"n/a")</f>
        <v>8392.1419999999998</v>
      </c>
      <c r="AU93" s="41">
        <f t="shared" ref="AU93:AW93" si="558">IFERROR(AU91+AU92,"n/a")</f>
        <v>32626.090000000018</v>
      </c>
      <c r="AV93" s="41">
        <f t="shared" ref="AV93" si="559">IFERROR(AV91+AV92,"n/a")</f>
        <v>59484.996999999996</v>
      </c>
      <c r="AW93" s="41">
        <f t="shared" si="558"/>
        <v>106213.47395952216</v>
      </c>
      <c r="AX93" s="41">
        <f t="shared" ref="AX93" si="560">IFERROR(AX91+AX92,"n/a")</f>
        <v>94766.518003146848</v>
      </c>
    </row>
    <row r="94" spans="1:50" x14ac:dyDescent="0.2">
      <c r="B94" s="30" t="s">
        <v>85</v>
      </c>
      <c r="L94" s="46">
        <f>IFERROR(L93/H93-1,"n/a")</f>
        <v>14.215929656721499</v>
      </c>
      <c r="M94" s="46">
        <f t="shared" ref="M94" si="561">IFERROR(M93/I93-1,"n/a")</f>
        <v>-0.79561401491568762</v>
      </c>
      <c r="N94" s="46">
        <f t="shared" ref="N94" si="562">IFERROR(N93/J93-1,"n/a")</f>
        <v>1.2986817256734629</v>
      </c>
      <c r="O94" s="46">
        <f t="shared" ref="O94" si="563">IFERROR(O93/K93-1,"n/a")</f>
        <v>-0.21489290411202999</v>
      </c>
      <c r="P94" s="46">
        <f t="shared" ref="P94" si="564">IFERROR(P93/L93-1,"n/a")</f>
        <v>1.159212483330152</v>
      </c>
      <c r="Q94" s="46">
        <f t="shared" ref="Q94" si="565">IFERROR(Q93/M93-1,"n/a")</f>
        <v>0.10950480867031454</v>
      </c>
      <c r="R94" s="46">
        <f t="shared" ref="R94" si="566">IFERROR(R93/N93-1,"n/a")</f>
        <v>-0.5696673552033551</v>
      </c>
      <c r="S94" s="46">
        <f t="shared" ref="S94" si="567">IFERROR(S93/O93-1,"n/a")</f>
        <v>-4.6033440101931999E-2</v>
      </c>
      <c r="T94" s="46">
        <f t="shared" ref="T94" si="568">IFERROR(T93/P93-1,"n/a")</f>
        <v>-0.1089284081172035</v>
      </c>
      <c r="U94" s="46">
        <f t="shared" ref="U94" si="569">IFERROR(U93/Q93-1,"n/a")</f>
        <v>-2.6058251457429171</v>
      </c>
      <c r="V94" s="46">
        <f t="shared" ref="V94" si="570">IFERROR(V93/R93-1,"n/a")</f>
        <v>-3.2183880625736347</v>
      </c>
      <c r="W94" s="46">
        <f t="shared" ref="W94" si="571">IFERROR(W93/S93-1,"n/a")</f>
        <v>-4.8627225841278765</v>
      </c>
      <c r="X94" s="46">
        <f t="shared" ref="X94" si="572">IFERROR(X93/T93-1,"n/a")</f>
        <v>-1.7183590013651857</v>
      </c>
      <c r="Y94" s="46">
        <f t="shared" ref="Y94" si="573">IFERROR(Y93/U93-1,"n/a")</f>
        <v>2.9021277775622378</v>
      </c>
      <c r="Z94" s="46">
        <f t="shared" ref="Z94" si="574">IFERROR(Z93/V93-1,"n/a")</f>
        <v>3.3741120091106014</v>
      </c>
      <c r="AA94" s="46">
        <f t="shared" ref="AA94" si="575">IFERROR(AA93/W93-1,"n/a")</f>
        <v>0.32811796953416383</v>
      </c>
      <c r="AB94" s="46">
        <f t="shared" ref="AB94" si="576">IFERROR(AB93/X93-1,"n/a")</f>
        <v>1.6289292739678793</v>
      </c>
      <c r="AC94" s="46">
        <f t="shared" ref="AC94" si="577">IFERROR(AC93/Y93-1,"n/a")</f>
        <v>0.39576587982164102</v>
      </c>
      <c r="AD94" s="46">
        <f t="shared" ref="AD94:AF94" si="578">IFERROR(AD93/Z93-1,"n/a")</f>
        <v>0.53307634659060166</v>
      </c>
      <c r="AE94" s="46">
        <f t="shared" si="578"/>
        <v>1.3363027054216805</v>
      </c>
      <c r="AF94" s="46">
        <f t="shared" si="578"/>
        <v>2.7096477913776922</v>
      </c>
      <c r="AG94" s="46">
        <f t="shared" ref="AG94" si="579">IFERROR(AG93/AC93-1,"n/a")</f>
        <v>1.5569849631357</v>
      </c>
      <c r="AH94" s="46">
        <f t="shared" ref="AH94" si="580">IFERROR(AH93/AD93-1,"n/a")</f>
        <v>0.46874754014617448</v>
      </c>
      <c r="AI94" s="46">
        <f t="shared" ref="AI94:AJ94" si="581">IFERROR(AI93/AE93-1,"n/a")</f>
        <v>-2.6022187688888088E-2</v>
      </c>
      <c r="AJ94" s="46">
        <f t="shared" si="581"/>
        <v>-0.2951049529505807</v>
      </c>
      <c r="AK94" s="46">
        <f t="shared" ref="AK94" si="582">IFERROR(AK93/AG93-1,"n/a")</f>
        <v>-0.29476015971706071</v>
      </c>
      <c r="AL94" s="46">
        <f t="shared" ref="AL94" si="583">IFERROR(AL93/AH93-1,"n/a")</f>
        <v>1.3595134406596543E-2</v>
      </c>
      <c r="AM94" s="46">
        <f t="shared" ref="AM94" si="584">IFERROR(AM93/AI93-1,"n/a")</f>
        <v>0.26138364714296669</v>
      </c>
      <c r="AP94" s="28">
        <f>IFERROR(AP93/AO93-1,"n/a")</f>
        <v>1.043975715792091</v>
      </c>
      <c r="AQ94" s="28">
        <f t="shared" ref="AQ94" si="585">IFERROR(AQ93/AP93-1,"n/a")</f>
        <v>16.6580325267071</v>
      </c>
      <c r="AR94" s="28">
        <f t="shared" ref="AR94" si="586">IFERROR(AR93/AQ93-1,"n/a")</f>
        <v>-0.233176656535379</v>
      </c>
      <c r="AS94" s="28">
        <f t="shared" ref="AS94" si="587">IFERROR(AS93/AR93-1,"n/a")</f>
        <v>0.10485850047719203</v>
      </c>
      <c r="AT94" s="28">
        <f t="shared" ref="AT94" si="588">IFERROR(AT93/AS93-1,"n/a")</f>
        <v>-1.9614311333903554</v>
      </c>
      <c r="AU94" s="28">
        <f t="shared" ref="AU94:AV94" si="589">IFERROR(AU93/AT93-1,"n/a")</f>
        <v>2.8876951796096897</v>
      </c>
      <c r="AV94" s="28">
        <f t="shared" si="589"/>
        <v>0.82323401302454458</v>
      </c>
      <c r="AW94" s="28">
        <f t="shared" ref="AW94:AX94" si="590">IFERROR(AW93/AV93-1,"n/a")</f>
        <v>0.78555063152347748</v>
      </c>
      <c r="AX94" s="28">
        <f t="shared" si="590"/>
        <v>-0.10777310570538101</v>
      </c>
    </row>
    <row r="95" spans="1:50" x14ac:dyDescent="0.2">
      <c r="B95" s="30" t="s">
        <v>87</v>
      </c>
      <c r="H95" s="44">
        <f t="shared" ref="H95:AM95" si="591">IFERROR(H93/H16,"n/a")</f>
        <v>-9.3082390344098681E-2</v>
      </c>
      <c r="I95" s="44">
        <f t="shared" si="591"/>
        <v>-2.403786886601408</v>
      </c>
      <c r="J95" s="44">
        <f t="shared" si="591"/>
        <v>-0.33958668528041308</v>
      </c>
      <c r="K95" s="44">
        <f t="shared" si="591"/>
        <v>-0.44511725665829821</v>
      </c>
      <c r="L95" s="44">
        <f t="shared" si="591"/>
        <v>-0.43145769694825598</v>
      </c>
      <c r="M95" s="44">
        <f t="shared" si="591"/>
        <v>-0.18257253627156525</v>
      </c>
      <c r="N95" s="44">
        <f t="shared" si="591"/>
        <v>-0.35035047487685572</v>
      </c>
      <c r="O95" s="44">
        <f t="shared" si="591"/>
        <v>-0.183072029253777</v>
      </c>
      <c r="P95" s="44">
        <f t="shared" si="591"/>
        <v>-0.64734964934577099</v>
      </c>
      <c r="Q95" s="44">
        <f t="shared" si="591"/>
        <v>-0.1211074469904207</v>
      </c>
      <c r="R95" s="44">
        <f t="shared" si="591"/>
        <v>-7.972376001264489E-2</v>
      </c>
      <c r="S95" s="44">
        <f t="shared" si="591"/>
        <v>-7.1000147319680101E-2</v>
      </c>
      <c r="T95" s="44">
        <f t="shared" si="591"/>
        <v>-0.17021221405651688</v>
      </c>
      <c r="U95" s="44">
        <f t="shared" si="591"/>
        <v>0.10289427073073157</v>
      </c>
      <c r="V95" s="44">
        <f t="shared" si="591"/>
        <v>0.11685786662344094</v>
      </c>
      <c r="W95" s="44">
        <f t="shared" si="591"/>
        <v>0.26737354109465983</v>
      </c>
      <c r="X95" s="44">
        <f t="shared" si="591"/>
        <v>0.1139145867629016</v>
      </c>
      <c r="Y95" s="44">
        <f t="shared" si="591"/>
        <v>0.29431731536514744</v>
      </c>
      <c r="Z95" s="44">
        <f t="shared" si="591"/>
        <v>0.30961472304878868</v>
      </c>
      <c r="AA95" s="44">
        <f t="shared" si="591"/>
        <v>0.24283702788958345</v>
      </c>
      <c r="AB95" s="44">
        <f t="shared" si="591"/>
        <v>0.18932346584017615</v>
      </c>
      <c r="AC95" s="44">
        <f t="shared" si="591"/>
        <v>0.24703766193245733</v>
      </c>
      <c r="AD95" s="44">
        <f t="shared" si="591"/>
        <v>0.24480663751797616</v>
      </c>
      <c r="AE95" s="44">
        <f t="shared" si="591"/>
        <v>0.25417713121615726</v>
      </c>
      <c r="AF95" s="44">
        <f t="shared" si="591"/>
        <v>0.30448972593692009</v>
      </c>
      <c r="AG95" s="44">
        <f t="shared" si="591"/>
        <v>0.34024750287459898</v>
      </c>
      <c r="AH95" s="44">
        <f t="shared" si="591"/>
        <v>0.24913023282108787</v>
      </c>
      <c r="AI95" s="44">
        <f t="shared" si="591"/>
        <v>0.2002692787372877</v>
      </c>
      <c r="AJ95" s="44">
        <f t="shared" si="591"/>
        <v>0.19540994602488557</v>
      </c>
      <c r="AK95" s="44">
        <f t="shared" si="591"/>
        <v>0.20947135321999019</v>
      </c>
      <c r="AL95" s="44">
        <f t="shared" si="591"/>
        <v>0.21064975260807173</v>
      </c>
      <c r="AM95" s="44">
        <f t="shared" si="591"/>
        <v>0.20889078013352316</v>
      </c>
      <c r="AO95" s="44">
        <f t="shared" ref="AO95:AX95" si="592">IFERROR(AO93/AO16,"n/a")</f>
        <v>-0.56540573302909314</v>
      </c>
      <c r="AP95" s="44">
        <f t="shared" si="592"/>
        <v>-0.33453760042566943</v>
      </c>
      <c r="AQ95" s="44">
        <f t="shared" si="592"/>
        <v>-0.78527026316331006</v>
      </c>
      <c r="AR95" s="44">
        <f t="shared" si="592"/>
        <v>-0.26210635923710951</v>
      </c>
      <c r="AS95" s="44">
        <f t="shared" si="592"/>
        <v>-0.14672261493231048</v>
      </c>
      <c r="AT95" s="44">
        <f t="shared" si="592"/>
        <v>8.9325678008157092E-2</v>
      </c>
      <c r="AU95" s="44">
        <f t="shared" si="592"/>
        <v>0.24989807371519412</v>
      </c>
      <c r="AV95" s="44">
        <f t="shared" si="592"/>
        <v>0.24020831838803552</v>
      </c>
      <c r="AW95" s="44">
        <f t="shared" si="592"/>
        <v>0.2701970898822687</v>
      </c>
      <c r="AX95" s="44">
        <f t="shared" si="592"/>
        <v>0.206684970174632</v>
      </c>
    </row>
    <row r="96" spans="1:50" s="1" customFormat="1" x14ac:dyDescent="0.2">
      <c r="B96" s="30" t="s">
        <v>467</v>
      </c>
      <c r="H96" s="44">
        <f>+IFERROR(H93/(H249*1000),"n/a")</f>
        <v>-3.2447696374622455E-3</v>
      </c>
      <c r="I96" s="44">
        <f t="shared" ref="I96:AX96" si="593">+IFERROR(I93/(I249*1000),"n/a")</f>
        <v>-0.13162513441512236</v>
      </c>
      <c r="J96" s="44">
        <f t="shared" si="593"/>
        <v>-1.6135338647775888E-2</v>
      </c>
      <c r="K96" s="44">
        <f t="shared" si="593"/>
        <v>-2.0495628715693447E-2</v>
      </c>
      <c r="L96" s="44">
        <f t="shared" si="593"/>
        <v>-2.1504584243492914E-2</v>
      </c>
      <c r="M96" s="44">
        <f t="shared" si="593"/>
        <v>-9.4729371647705989E-3</v>
      </c>
      <c r="N96" s="44">
        <f t="shared" si="593"/>
        <v>-1.7592746484144235E-2</v>
      </c>
      <c r="O96" s="44">
        <f t="shared" si="593"/>
        <v>-8.8750224587881218E-3</v>
      </c>
      <c r="P96" s="44">
        <f t="shared" si="593"/>
        <v>-2.968379221311427E-2</v>
      </c>
      <c r="Q96" s="44">
        <f t="shared" si="593"/>
        <v>-5.9954179626790262E-3</v>
      </c>
      <c r="R96" s="44">
        <f t="shared" si="593"/>
        <v>-4.3078285732103764E-3</v>
      </c>
      <c r="S96" s="44">
        <f t="shared" si="593"/>
        <v>-5.3441391824554617E-3</v>
      </c>
      <c r="T96" s="44">
        <f t="shared" si="593"/>
        <v>-1.2142198887797769E-2</v>
      </c>
      <c r="U96" s="44">
        <f t="shared" si="593"/>
        <v>6.637271164575618E-3</v>
      </c>
      <c r="V96" s="44">
        <f t="shared" si="593"/>
        <v>6.641341074713627E-3</v>
      </c>
      <c r="W96" s="44">
        <f t="shared" si="593"/>
        <v>1.6328334497741005E-2</v>
      </c>
      <c r="X96" s="44">
        <f t="shared" si="593"/>
        <v>7.0682567897144199E-3</v>
      </c>
      <c r="Y96" s="44">
        <f t="shared" si="593"/>
        <v>2.1801915468063593E-2</v>
      </c>
      <c r="Z96" s="44">
        <f t="shared" si="593"/>
        <v>2.306330490119449E-2</v>
      </c>
      <c r="AA96" s="44">
        <f t="shared" si="593"/>
        <v>1.8116456469750544E-2</v>
      </c>
      <c r="AB96" s="44">
        <f t="shared" si="593"/>
        <v>1.4698699584814547E-2</v>
      </c>
      <c r="AC96" s="44">
        <f t="shared" si="593"/>
        <v>2.2833201058566399E-2</v>
      </c>
      <c r="AD96" s="44">
        <f t="shared" si="593"/>
        <v>2.7541180311934102E-2</v>
      </c>
      <c r="AE96" s="44">
        <f t="shared" si="593"/>
        <v>3.175263497473909E-2</v>
      </c>
      <c r="AF96" s="44">
        <f t="shared" si="593"/>
        <v>4.139501124993971E-2</v>
      </c>
      <c r="AG96" s="44">
        <f t="shared" si="593"/>
        <v>4.6376676188128831E-2</v>
      </c>
      <c r="AH96" s="44">
        <f t="shared" si="593"/>
        <v>3.2799926033453129E-2</v>
      </c>
      <c r="AI96" s="44">
        <f t="shared" si="593"/>
        <v>2.57863507091971E-2</v>
      </c>
      <c r="AJ96" s="44">
        <f t="shared" si="593"/>
        <v>2.5332842861332788E-2</v>
      </c>
      <c r="AK96" s="44">
        <f t="shared" si="593"/>
        <v>2.836523041531026E-2</v>
      </c>
      <c r="AL96" s="44">
        <f t="shared" si="593"/>
        <v>2.8624004715566264E-2</v>
      </c>
      <c r="AM96" s="44">
        <f t="shared" si="593"/>
        <v>2.8005404872679562E-2</v>
      </c>
      <c r="AN96" s="55"/>
      <c r="AO96" s="44" t="str">
        <f t="shared" si="593"/>
        <v>n/a</v>
      </c>
      <c r="AP96" s="44">
        <f t="shared" si="593"/>
        <v>-6.8845207163708531E-3</v>
      </c>
      <c r="AQ96" s="44">
        <f t="shared" si="593"/>
        <v>-3.6410581000848159E-2</v>
      </c>
      <c r="AR96" s="44">
        <f t="shared" si="593"/>
        <v>-1.3080965626862708E-2</v>
      </c>
      <c r="AS96" s="44">
        <f t="shared" si="593"/>
        <v>-8.6885522815556941E-3</v>
      </c>
      <c r="AT96" s="44">
        <f t="shared" si="593"/>
        <v>5.6235422907502698E-3</v>
      </c>
      <c r="AU96" s="44">
        <f t="shared" si="593"/>
        <v>1.7943422310850051E-2</v>
      </c>
      <c r="AV96" s="44">
        <f t="shared" si="593"/>
        <v>2.5058940743337203E-2</v>
      </c>
      <c r="AW96" s="44">
        <f t="shared" si="593"/>
        <v>3.5899915501472271E-2</v>
      </c>
      <c r="AX96" s="44">
        <f t="shared" si="593"/>
        <v>2.7675957655046626E-2</v>
      </c>
    </row>
    <row r="97" spans="1:52" x14ac:dyDescent="0.2">
      <c r="B97" s="4"/>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O97" s="37"/>
      <c r="AP97" s="37"/>
      <c r="AQ97" s="37"/>
      <c r="AR97" s="37"/>
      <c r="AS97" s="37"/>
      <c r="AT97" s="37"/>
      <c r="AU97" s="37"/>
      <c r="AV97" s="37"/>
      <c r="AW97" s="37"/>
      <c r="AX97" s="37"/>
    </row>
    <row r="98" spans="1:52" ht="13.5" x14ac:dyDescent="0.35">
      <c r="A98" t="s">
        <v>258</v>
      </c>
      <c r="B98" t="s">
        <v>219</v>
      </c>
      <c r="H98" s="57">
        <f>+$AQ98/4</f>
        <v>-6.8327499999999999</v>
      </c>
      <c r="I98" s="57">
        <f t="shared" ref="I98:K98" si="594">+$AQ98/4</f>
        <v>-6.8327499999999999</v>
      </c>
      <c r="J98" s="57">
        <f t="shared" si="594"/>
        <v>-6.8327499999999999</v>
      </c>
      <c r="K98" s="57">
        <f t="shared" si="594"/>
        <v>-6.8327499999999999</v>
      </c>
      <c r="L98" s="57">
        <f>+$AR98/4</f>
        <v>-6.859</v>
      </c>
      <c r="M98" s="57">
        <f t="shared" ref="M98:O98" si="595">+$AR98/4</f>
        <v>-6.859</v>
      </c>
      <c r="N98" s="57">
        <f t="shared" si="595"/>
        <v>-6.859</v>
      </c>
      <c r="O98" s="57">
        <f t="shared" si="595"/>
        <v>-6.859</v>
      </c>
      <c r="P98" s="57">
        <f>+$AS98/4</f>
        <v>-10.7615</v>
      </c>
      <c r="Q98" s="57">
        <f t="shared" ref="Q98:S98" si="596">+$AS98/4</f>
        <v>-10.7615</v>
      </c>
      <c r="R98" s="57">
        <f t="shared" si="596"/>
        <v>-10.7615</v>
      </c>
      <c r="S98" s="57">
        <f t="shared" si="596"/>
        <v>-10.7615</v>
      </c>
      <c r="T98" s="57">
        <f>+$AT98/4</f>
        <v>-821.80799999999999</v>
      </c>
      <c r="U98" s="57">
        <f t="shared" ref="U98:W98" si="597">+$AT98/4</f>
        <v>-821.80799999999999</v>
      </c>
      <c r="V98" s="57">
        <f t="shared" si="597"/>
        <v>-821.80799999999999</v>
      </c>
      <c r="W98" s="57">
        <f t="shared" si="597"/>
        <v>-821.80799999999999</v>
      </c>
      <c r="X98" s="57">
        <f>+$AU98/4</f>
        <v>-158.929</v>
      </c>
      <c r="Y98" s="57">
        <f t="shared" ref="Y98:AA98" si="598">+$AU98/4</f>
        <v>-158.929</v>
      </c>
      <c r="Z98" s="57">
        <f t="shared" si="598"/>
        <v>-158.929</v>
      </c>
      <c r="AA98" s="57">
        <f t="shared" si="598"/>
        <v>-158.929</v>
      </c>
      <c r="AB98" s="57">
        <f>+$AV98/4</f>
        <v>-145.96975</v>
      </c>
      <c r="AC98" s="57">
        <f t="shared" ref="AC98:AE98" si="599">+$AV98/4</f>
        <v>-145.96975</v>
      </c>
      <c r="AD98" s="57">
        <f t="shared" si="599"/>
        <v>-145.96975</v>
      </c>
      <c r="AE98" s="57">
        <f t="shared" si="599"/>
        <v>-145.96975</v>
      </c>
      <c r="AF98" s="57">
        <f t="shared" ref="AF98:AI98" si="600">+$AW98/4</f>
        <v>-682.01492024038862</v>
      </c>
      <c r="AG98" s="57">
        <f t="shared" si="600"/>
        <v>-682.01492024038862</v>
      </c>
      <c r="AH98" s="57">
        <f t="shared" si="600"/>
        <v>-682.01492024038862</v>
      </c>
      <c r="AI98" s="57">
        <f t="shared" si="600"/>
        <v>-682.01492024038862</v>
      </c>
      <c r="AJ98" s="57">
        <f>+$AX98/4</f>
        <v>-765.75</v>
      </c>
      <c r="AK98" s="57">
        <f t="shared" ref="AK98:AM98" si="601">+$AX98/4</f>
        <v>-765.75</v>
      </c>
      <c r="AL98" s="57">
        <f t="shared" si="601"/>
        <v>-765.75</v>
      </c>
      <c r="AM98" s="57">
        <f t="shared" si="601"/>
        <v>-765.75</v>
      </c>
      <c r="AO98" s="35">
        <f t="shared" ref="AO98:AU98" si="602">AO689</f>
        <v>-2.3010000000000002</v>
      </c>
      <c r="AP98" s="35">
        <f t="shared" si="602"/>
        <v>-8.9209999999999994</v>
      </c>
      <c r="AQ98" s="35">
        <f t="shared" si="602"/>
        <v>-27.331</v>
      </c>
      <c r="AR98" s="35">
        <f t="shared" si="602"/>
        <v>-27.436</v>
      </c>
      <c r="AS98" s="35">
        <f t="shared" si="602"/>
        <v>-43.045999999999999</v>
      </c>
      <c r="AT98" s="35">
        <f t="shared" si="602"/>
        <v>-3287.232</v>
      </c>
      <c r="AU98" s="35">
        <f t="shared" si="602"/>
        <v>-635.71600000000001</v>
      </c>
      <c r="AV98" s="35">
        <f t="shared" ref="AV98" si="603">AV689</f>
        <v>-583.87900000000002</v>
      </c>
      <c r="AW98" s="54">
        <v>-2728.0596809615545</v>
      </c>
      <c r="AX98" s="54">
        <v>-3063</v>
      </c>
    </row>
    <row r="99" spans="1:52" s="1" customFormat="1" x14ac:dyDescent="0.2">
      <c r="B99" s="38" t="s">
        <v>220</v>
      </c>
      <c r="H99" s="41">
        <f t="shared" ref="H99:K99" si="604">IFERROR(H93+H98,"n/a")</f>
        <v>-135.7150000000004</v>
      </c>
      <c r="I99" s="41">
        <f t="shared" si="604"/>
        <v>-6518.8019999999988</v>
      </c>
      <c r="J99" s="41">
        <f t="shared" si="604"/>
        <v>-1152.0610000000001</v>
      </c>
      <c r="K99" s="41">
        <f t="shared" si="604"/>
        <v>-2523.4909999999986</v>
      </c>
      <c r="L99" s="41">
        <f>IFERROR(L93+L98,"n/a")</f>
        <v>-1967.9222500000005</v>
      </c>
      <c r="M99" s="41">
        <f t="shared" ref="M99:AO99" si="605">IFERROR(M93+M98,"n/a")</f>
        <v>-1337.8142500000008</v>
      </c>
      <c r="N99" s="41">
        <f t="shared" si="605"/>
        <v>-2639.3742500000003</v>
      </c>
      <c r="O99" s="41">
        <f t="shared" si="605"/>
        <v>-1982.7052499999995</v>
      </c>
      <c r="P99" s="41">
        <f t="shared" si="605"/>
        <v>-4245.1137499999995</v>
      </c>
      <c r="Q99" s="41">
        <f t="shared" si="605"/>
        <v>-1487.4627500000017</v>
      </c>
      <c r="R99" s="41">
        <f t="shared" si="605"/>
        <v>-1143.6187500000012</v>
      </c>
      <c r="S99" s="41">
        <f t="shared" si="605"/>
        <v>-1895.6527499999977</v>
      </c>
      <c r="T99" s="41">
        <f t="shared" si="605"/>
        <v>-4594.9190000000008</v>
      </c>
      <c r="U99" s="41">
        <f t="shared" si="605"/>
        <v>1549.5160000000005</v>
      </c>
      <c r="V99" s="41">
        <f t="shared" si="605"/>
        <v>1691.3089999999984</v>
      </c>
      <c r="W99" s="41">
        <f t="shared" si="605"/>
        <v>6459.0040000000135</v>
      </c>
      <c r="X99" s="41">
        <f t="shared" si="605"/>
        <v>2551.5192499999971</v>
      </c>
      <c r="Y99" s="41">
        <f t="shared" si="605"/>
        <v>9094.280249999998</v>
      </c>
      <c r="Z99" s="41">
        <f t="shared" si="605"/>
        <v>10833.72625</v>
      </c>
      <c r="AA99" s="41">
        <f t="shared" si="605"/>
        <v>9510.8482499999918</v>
      </c>
      <c r="AB99" s="41">
        <f t="shared" si="605"/>
        <v>6979.6070000000018</v>
      </c>
      <c r="AC99" s="41">
        <f t="shared" si="605"/>
        <v>12769.343999999994</v>
      </c>
      <c r="AD99" s="41">
        <f t="shared" si="605"/>
        <v>16706.609999999997</v>
      </c>
      <c r="AE99" s="41">
        <f t="shared" ref="AE99:AF99" si="606">IFERROR(AE93+AE98,"n/a")</f>
        <v>22445.556999999997</v>
      </c>
      <c r="AF99" s="41">
        <f t="shared" si="606"/>
        <v>25751.365132689352</v>
      </c>
      <c r="AG99" s="41">
        <f t="shared" si="605"/>
        <v>32342.248132689343</v>
      </c>
      <c r="AH99" s="41">
        <f t="shared" si="605"/>
        <v>24070.170132689338</v>
      </c>
      <c r="AI99" s="41">
        <f t="shared" si="605"/>
        <v>21321.630880492572</v>
      </c>
      <c r="AJ99" s="41">
        <f t="shared" ref="AJ99:AM99" si="607">IFERROR(AJ93+AJ98,"n/a")</f>
        <v>17867.00867608509</v>
      </c>
      <c r="AK99" s="41">
        <f t="shared" si="607"/>
        <v>22524.276000909937</v>
      </c>
      <c r="AL99" s="41">
        <f t="shared" si="607"/>
        <v>24322.944335581255</v>
      </c>
      <c r="AM99" s="41">
        <f t="shared" si="607"/>
        <v>26989.288990570567</v>
      </c>
      <c r="AO99" s="41">
        <f t="shared" si="605"/>
        <v>-287.75400000000008</v>
      </c>
      <c r="AP99" s="41">
        <f t="shared" ref="AP99" si="608">IFERROR(AP93+AP98,"n/a")</f>
        <v>-592.38</v>
      </c>
      <c r="AQ99" s="41">
        <f t="shared" ref="AQ99" si="609">IFERROR(AQ93+AQ98,"n/a")</f>
        <v>-10330.068999999998</v>
      </c>
      <c r="AR99" s="41">
        <f t="shared" ref="AR99" si="610">IFERROR(AR93+AR98,"n/a")</f>
        <v>-7927.8160000000007</v>
      </c>
      <c r="AS99" s="41">
        <f t="shared" ref="AS99" si="611">IFERROR(AS93+AS98,"n/a")</f>
        <v>-8771.848</v>
      </c>
      <c r="AT99" s="41">
        <f t="shared" ref="AT99" si="612">IFERROR(AT93+AT98,"n/a")</f>
        <v>5104.91</v>
      </c>
      <c r="AU99" s="41">
        <f t="shared" ref="AU99" si="613">IFERROR(AU93+AU98,"n/a")</f>
        <v>31990.374000000018</v>
      </c>
      <c r="AV99" s="41">
        <f t="shared" ref="AV99" si="614">IFERROR(AV93+AV98,"n/a")</f>
        <v>58901.117999999995</v>
      </c>
      <c r="AW99" s="41">
        <f t="shared" ref="AW99:AX99" si="615">IFERROR(AW93+AW98,"n/a")</f>
        <v>103485.41427856061</v>
      </c>
      <c r="AX99" s="41">
        <f t="shared" si="615"/>
        <v>91703.518003146848</v>
      </c>
      <c r="AY99" s="42"/>
      <c r="AZ99" s="42"/>
    </row>
    <row r="100" spans="1:52" x14ac:dyDescent="0.2">
      <c r="B100" s="30" t="s">
        <v>85</v>
      </c>
      <c r="L100" s="46">
        <f>IFERROR(L99/H99-1,"n/a")</f>
        <v>13.500403418929334</v>
      </c>
      <c r="M100" s="46">
        <f t="shared" ref="M100" si="616">IFERROR(M99/I99-1,"n/a")</f>
        <v>-0.79477605701170229</v>
      </c>
      <c r="N100" s="46">
        <f t="shared" ref="N100" si="617">IFERROR(N99/J99-1,"n/a")</f>
        <v>1.2910021691559734</v>
      </c>
      <c r="O100" s="46">
        <f t="shared" ref="O100" si="618">IFERROR(O99/K99-1,"n/a")</f>
        <v>-0.21430064541541827</v>
      </c>
      <c r="P100" s="46">
        <f t="shared" ref="P100" si="619">IFERROR(P99/L99-1,"n/a")</f>
        <v>1.1571552178954216</v>
      </c>
      <c r="Q100" s="46">
        <f t="shared" ref="Q100" si="620">IFERROR(Q99/M99-1,"n/a")</f>
        <v>0.11186044699404341</v>
      </c>
      <c r="R100" s="46">
        <f t="shared" ref="R100" si="621">IFERROR(R99/N99-1,"n/a")</f>
        <v>-0.5667083779422335</v>
      </c>
      <c r="S100" s="46">
        <f t="shared" ref="S100" si="622">IFERROR(S99/O99-1,"n/a")</f>
        <v>-4.3905920963290823E-2</v>
      </c>
      <c r="T100" s="46">
        <f t="shared" ref="T100" si="623">IFERROR(T99/P99-1,"n/a")</f>
        <v>8.2401855545096048E-2</v>
      </c>
      <c r="U100" s="46">
        <f t="shared" ref="U100" si="624">IFERROR(U99/Q99-1,"n/a")</f>
        <v>-2.0417175152789531</v>
      </c>
      <c r="V100" s="46">
        <f t="shared" ref="V100" si="625">IFERROR(V99/R99-1,"n/a")</f>
        <v>-2.4789098202525945</v>
      </c>
      <c r="W100" s="46">
        <f t="shared" ref="W100" si="626">IFERROR(W99/S99-1,"n/a")</f>
        <v>-4.4072717168268403</v>
      </c>
      <c r="X100" s="46">
        <f t="shared" ref="X100" si="627">IFERROR(X99/T99-1,"n/a")</f>
        <v>-1.5552914534510829</v>
      </c>
      <c r="Y100" s="46">
        <f t="shared" ref="Y100" si="628">IFERROR(Y99/U99-1,"n/a")</f>
        <v>4.8691102576546452</v>
      </c>
      <c r="Z100" s="46">
        <f t="shared" ref="Z100" si="629">IFERROR(Z99/V99-1,"n/a")</f>
        <v>5.4055274642303743</v>
      </c>
      <c r="AA100" s="46">
        <f t="shared" ref="AA100" si="630">IFERROR(AA99/W99-1,"n/a")</f>
        <v>0.4724945595327037</v>
      </c>
      <c r="AB100" s="46">
        <f t="shared" ref="AB100" si="631">IFERROR(AB99/X99-1,"n/a")</f>
        <v>1.7354710335812711</v>
      </c>
      <c r="AC100" s="46">
        <f t="shared" ref="AC100" si="632">IFERROR(AC99/Y99-1,"n/a")</f>
        <v>0.40410715845269851</v>
      </c>
      <c r="AD100" s="46">
        <f t="shared" ref="AD100:AF100" si="633">IFERROR(AD99/Z99-1,"n/a")</f>
        <v>0.54209268486916007</v>
      </c>
      <c r="AE100" s="46">
        <f t="shared" si="633"/>
        <v>1.3599952822294283</v>
      </c>
      <c r="AF100" s="46">
        <f t="shared" si="633"/>
        <v>2.689515059041196</v>
      </c>
      <c r="AG100" s="46">
        <f t="shared" ref="AG100" si="634">IFERROR(AG99/AC99-1,"n/a")</f>
        <v>1.5328042014287782</v>
      </c>
      <c r="AH100" s="46">
        <f t="shared" ref="AH100" si="635">IFERROR(AH99/AD99-1,"n/a")</f>
        <v>0.44075728904244138</v>
      </c>
      <c r="AI100" s="46">
        <f t="shared" ref="AI100:AJ100" si="636">IFERROR(AI99/AE99-1,"n/a")</f>
        <v>-5.007343411025289E-2</v>
      </c>
      <c r="AJ100" s="46">
        <f t="shared" si="636"/>
        <v>-0.30617236857069319</v>
      </c>
      <c r="AK100" s="46">
        <f t="shared" ref="AK100" si="637">IFERROR(AK99/AG99-1,"n/a")</f>
        <v>-0.30356492509424748</v>
      </c>
      <c r="AL100" s="46">
        <f t="shared" ref="AL100" si="638">IFERROR(AL99/AH99-1,"n/a")</f>
        <v>1.0501554475870867E-2</v>
      </c>
      <c r="AM100" s="46">
        <f t="shared" ref="AM100" si="639">IFERROR(AM99/AI99-1,"n/a")</f>
        <v>0.26581728864199627</v>
      </c>
      <c r="AP100" s="28">
        <f>IFERROR(AP99/AO99-1,"n/a")</f>
        <v>1.0586334160428694</v>
      </c>
      <c r="AQ100" s="28">
        <f t="shared" ref="AQ100" si="640">IFERROR(AQ99/AP99-1,"n/a")</f>
        <v>16.438247408757888</v>
      </c>
      <c r="AR100" s="28">
        <f t="shared" ref="AR100" si="641">IFERROR(AR99/AQ99-1,"n/a")</f>
        <v>-0.23254955993033521</v>
      </c>
      <c r="AS100" s="28">
        <f t="shared" ref="AS100" si="642">IFERROR(AS99/AR99-1,"n/a")</f>
        <v>0.10646463035973586</v>
      </c>
      <c r="AT100" s="28">
        <f t="shared" ref="AT100" si="643">IFERROR(AT99/AS99-1,"n/a")</f>
        <v>-1.5819651685710925</v>
      </c>
      <c r="AU100" s="28">
        <f t="shared" ref="AU100:AX100" si="644">IFERROR(AU99/AT99-1,"n/a")</f>
        <v>5.2665892248834982</v>
      </c>
      <c r="AV100" s="28">
        <f t="shared" si="644"/>
        <v>0.84121379762549697</v>
      </c>
      <c r="AW100" s="28">
        <f t="shared" si="644"/>
        <v>0.7569346354098172</v>
      </c>
      <c r="AX100" s="28">
        <f t="shared" si="644"/>
        <v>-0.11385079102741391</v>
      </c>
    </row>
    <row r="101" spans="1:52" x14ac:dyDescent="0.2">
      <c r="B101" s="30" t="s">
        <v>87</v>
      </c>
      <c r="H101" s="44">
        <f t="shared" ref="H101:AM101" si="645">IFERROR(H99/H16,"n/a")</f>
        <v>-9.8017194808046507E-2</v>
      </c>
      <c r="I101" s="44">
        <f t="shared" si="645"/>
        <v>-2.4063090844526074</v>
      </c>
      <c r="J101" s="44">
        <f t="shared" si="645"/>
        <v>-0.34161275381640122</v>
      </c>
      <c r="K101" s="44">
        <f t="shared" si="645"/>
        <v>-0.44632575405178898</v>
      </c>
      <c r="L101" s="44">
        <f t="shared" si="645"/>
        <v>-0.43296676012781837</v>
      </c>
      <c r="M101" s="44">
        <f t="shared" si="645"/>
        <v>-0.18351341315400488</v>
      </c>
      <c r="N101" s="44">
        <f t="shared" si="645"/>
        <v>-0.35126331057920551</v>
      </c>
      <c r="O101" s="44">
        <f t="shared" si="645"/>
        <v>-0.1837075498812811</v>
      </c>
      <c r="P101" s="44">
        <f t="shared" si="645"/>
        <v>-0.64899487223704899</v>
      </c>
      <c r="Q101" s="44">
        <f t="shared" si="645"/>
        <v>-0.12199002076137636</v>
      </c>
      <c r="R101" s="44">
        <f t="shared" si="645"/>
        <v>-8.0481090420669463E-2</v>
      </c>
      <c r="S101" s="44">
        <f t="shared" si="645"/>
        <v>-7.1405511865449384E-2</v>
      </c>
      <c r="T101" s="44">
        <f t="shared" si="645"/>
        <v>-0.20728553610014558</v>
      </c>
      <c r="U101" s="44">
        <f t="shared" si="645"/>
        <v>6.7235147455851782E-2</v>
      </c>
      <c r="V101" s="44">
        <f t="shared" si="645"/>
        <v>7.8644472796541201E-2</v>
      </c>
      <c r="W101" s="44">
        <f t="shared" si="645"/>
        <v>0.23719425407833258</v>
      </c>
      <c r="X101" s="44">
        <f t="shared" si="645"/>
        <v>0.10723512650770535</v>
      </c>
      <c r="Y101" s="44">
        <f t="shared" si="645"/>
        <v>0.28926225226758834</v>
      </c>
      <c r="Z101" s="44">
        <f t="shared" si="645"/>
        <v>0.30513839251714386</v>
      </c>
      <c r="AA101" s="44">
        <f t="shared" si="645"/>
        <v>0.23884584536203726</v>
      </c>
      <c r="AB101" s="44">
        <f t="shared" si="645"/>
        <v>0.18544511325940799</v>
      </c>
      <c r="AC101" s="44">
        <f t="shared" si="645"/>
        <v>0.24424562555990961</v>
      </c>
      <c r="AD101" s="44">
        <f t="shared" si="645"/>
        <v>0.2426862284051316</v>
      </c>
      <c r="AE101" s="44">
        <f t="shared" si="645"/>
        <v>0.25253482643924174</v>
      </c>
      <c r="AF101" s="44">
        <f t="shared" si="645"/>
        <v>0.29663350264148614</v>
      </c>
      <c r="AG101" s="44">
        <f t="shared" si="645"/>
        <v>0.33322073370300276</v>
      </c>
      <c r="AH101" s="44">
        <f t="shared" si="645"/>
        <v>0.24226576669401226</v>
      </c>
      <c r="AI101" s="44">
        <f t="shared" si="645"/>
        <v>0.19406182396358554</v>
      </c>
      <c r="AJ101" s="44">
        <f t="shared" si="645"/>
        <v>0.18737918854179689</v>
      </c>
      <c r="AK101" s="44">
        <f t="shared" si="645"/>
        <v>0.20258416946493812</v>
      </c>
      <c r="AL101" s="44">
        <f t="shared" si="645"/>
        <v>0.20422036071138522</v>
      </c>
      <c r="AM101" s="44">
        <f t="shared" si="645"/>
        <v>0.2031275702550723</v>
      </c>
      <c r="AO101" s="44">
        <f t="shared" ref="AO101:AX101" si="646">IFERROR(AO99/AO16,"n/a")</f>
        <v>-0.56996339608290558</v>
      </c>
      <c r="AP101" s="44">
        <f t="shared" si="646"/>
        <v>-0.3396526298165905</v>
      </c>
      <c r="AQ101" s="44">
        <f t="shared" si="646"/>
        <v>-0.7873534202388871</v>
      </c>
      <c r="AR101" s="44">
        <f t="shared" si="646"/>
        <v>-0.26301658761498869</v>
      </c>
      <c r="AS101" s="44">
        <f t="shared" si="646"/>
        <v>-0.14744617604440538</v>
      </c>
      <c r="AT101" s="44">
        <f t="shared" si="646"/>
        <v>5.4336490841148923E-2</v>
      </c>
      <c r="AU101" s="44">
        <f t="shared" si="646"/>
        <v>0.24502883551257995</v>
      </c>
      <c r="AV101" s="44">
        <f t="shared" si="646"/>
        <v>0.23785053743812495</v>
      </c>
      <c r="AW101" s="44">
        <f t="shared" si="646"/>
        <v>0.26325716258922227</v>
      </c>
      <c r="AX101" s="44">
        <f t="shared" si="646"/>
        <v>0.20000459321255054</v>
      </c>
    </row>
    <row r="102" spans="1:52" s="1" customFormat="1" x14ac:dyDescent="0.2">
      <c r="B102" s="30" t="s">
        <v>467</v>
      </c>
      <c r="H102" s="44">
        <f>+IFERROR(H99/(H249*1000),"n/a")</f>
        <v>-3.416792547834854E-3</v>
      </c>
      <c r="I102" s="44">
        <f t="shared" ref="I102:AX102" si="647">+IFERROR(I99/(I249*1000),"n/a")</f>
        <v>-0.13176324342679727</v>
      </c>
      <c r="J102" s="44">
        <f t="shared" si="647"/>
        <v>-1.6231606562181238E-2</v>
      </c>
      <c r="K102" s="44">
        <f t="shared" si="647"/>
        <v>-2.0551274533756807E-2</v>
      </c>
      <c r="L102" s="44">
        <f t="shared" si="647"/>
        <v>-2.1579798514795034E-2</v>
      </c>
      <c r="M102" s="44">
        <f t="shared" si="647"/>
        <v>-9.5217553921401223E-3</v>
      </c>
      <c r="N102" s="44">
        <f t="shared" si="647"/>
        <v>-1.7638584261583413E-2</v>
      </c>
      <c r="O102" s="44">
        <f t="shared" si="647"/>
        <v>-8.9058314243363398E-3</v>
      </c>
      <c r="P102" s="44">
        <f t="shared" si="647"/>
        <v>-2.9759232826233176E-2</v>
      </c>
      <c r="Q102" s="44">
        <f t="shared" si="647"/>
        <v>-6.0391097320232796E-3</v>
      </c>
      <c r="R102" s="44">
        <f t="shared" si="647"/>
        <v>-4.3487504962422532E-3</v>
      </c>
      <c r="S102" s="44">
        <f t="shared" si="647"/>
        <v>-5.3746507325578858E-3</v>
      </c>
      <c r="T102" s="44">
        <f t="shared" si="647"/>
        <v>-1.4786848404756933E-2</v>
      </c>
      <c r="U102" s="44">
        <f t="shared" si="647"/>
        <v>4.3370529990201905E-3</v>
      </c>
      <c r="V102" s="44">
        <f t="shared" si="647"/>
        <v>4.4695730169875998E-3</v>
      </c>
      <c r="W102" s="44">
        <f t="shared" si="647"/>
        <v>1.4485304363613175E-2</v>
      </c>
      <c r="X102" s="44">
        <f t="shared" si="647"/>
        <v>6.6538046844832922E-3</v>
      </c>
      <c r="Y102" s="44">
        <f t="shared" si="647"/>
        <v>2.1427455480203285E-2</v>
      </c>
      <c r="Z102" s="44">
        <f t="shared" si="647"/>
        <v>2.27298615336658E-2</v>
      </c>
      <c r="AA102" s="44">
        <f t="shared" si="647"/>
        <v>1.7818700871473345E-2</v>
      </c>
      <c r="AB102" s="44">
        <f t="shared" si="647"/>
        <v>1.4397591958162361E-2</v>
      </c>
      <c r="AC102" s="44">
        <f t="shared" si="647"/>
        <v>2.2575138675047558E-2</v>
      </c>
      <c r="AD102" s="44">
        <f t="shared" si="647"/>
        <v>2.7302630531160155E-2</v>
      </c>
      <c r="AE102" s="44">
        <f t="shared" si="647"/>
        <v>3.154747291374186E-2</v>
      </c>
      <c r="AF102" s="44">
        <f t="shared" si="647"/>
        <v>4.0326967161766113E-2</v>
      </c>
      <c r="AG102" s="44">
        <f t="shared" si="647"/>
        <v>4.5418908105287238E-2</v>
      </c>
      <c r="AH102" s="44">
        <f t="shared" si="647"/>
        <v>3.1896165864815071E-2</v>
      </c>
      <c r="AI102" s="44">
        <f t="shared" si="647"/>
        <v>2.4987088801352812E-2</v>
      </c>
      <c r="AJ102" s="44">
        <f t="shared" si="647"/>
        <v>2.4291739675363685E-2</v>
      </c>
      <c r="AK102" s="44">
        <f t="shared" si="647"/>
        <v>2.7432613371873932E-2</v>
      </c>
      <c r="AL102" s="44">
        <f t="shared" si="647"/>
        <v>2.775035097664454E-2</v>
      </c>
      <c r="AM102" s="44">
        <f t="shared" si="647"/>
        <v>2.7232747381960846E-2</v>
      </c>
      <c r="AN102" s="55"/>
      <c r="AO102" s="44" t="str">
        <f t="shared" si="647"/>
        <v>n/a</v>
      </c>
      <c r="AP102" s="44">
        <f t="shared" si="647"/>
        <v>-6.9897839984707864E-3</v>
      </c>
      <c r="AQ102" s="44">
        <f t="shared" si="647"/>
        <v>-3.6507170624823282E-2</v>
      </c>
      <c r="AR102" s="44">
        <f t="shared" si="647"/>
        <v>-1.3126392476322937E-2</v>
      </c>
      <c r="AS102" s="44">
        <f t="shared" si="647"/>
        <v>-8.7313997904706463E-3</v>
      </c>
      <c r="AT102" s="44">
        <f t="shared" si="647"/>
        <v>3.4207806869180671E-3</v>
      </c>
      <c r="AU102" s="44">
        <f t="shared" si="647"/>
        <v>1.7593796577035047E-2</v>
      </c>
      <c r="AV102" s="44">
        <f t="shared" si="647"/>
        <v>2.4812973020378774E-2</v>
      </c>
      <c r="AW102" s="44">
        <f t="shared" si="647"/>
        <v>3.4977837460160706E-2</v>
      </c>
      <c r="AX102" s="44">
        <f t="shared" si="647"/>
        <v>2.6781428024923538E-2</v>
      </c>
    </row>
    <row r="103" spans="1:52" x14ac:dyDescent="0.2">
      <c r="B103" s="30"/>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O103" s="44"/>
      <c r="AP103" s="44"/>
      <c r="AQ103" s="44"/>
      <c r="AR103" s="44"/>
      <c r="AS103" s="44"/>
      <c r="AT103" s="44"/>
      <c r="AU103" s="44"/>
    </row>
    <row r="104" spans="1:52" x14ac:dyDescent="0.2">
      <c r="B104" t="s">
        <v>237</v>
      </c>
      <c r="H104" s="10">
        <f>+H77</f>
        <v>50.162999999999997</v>
      </c>
      <c r="I104" s="10">
        <f t="shared" ref="I104:AD104" si="648">+I77</f>
        <v>136.601</v>
      </c>
      <c r="J104" s="10">
        <f t="shared" si="648"/>
        <v>164.81899999999999</v>
      </c>
      <c r="K104" s="10">
        <f t="shared" si="648"/>
        <v>233.35700000000008</v>
      </c>
      <c r="L104" s="10">
        <f t="shared" si="648"/>
        <v>252.102</v>
      </c>
      <c r="M104" s="10">
        <f t="shared" si="648"/>
        <v>402.56799999999998</v>
      </c>
      <c r="N104" s="10">
        <f t="shared" si="648"/>
        <v>414.61500000000001</v>
      </c>
      <c r="O104" s="10">
        <f t="shared" si="648"/>
        <v>470.81399999999996</v>
      </c>
      <c r="P104" s="10">
        <f t="shared" si="648"/>
        <v>449.96000000000004</v>
      </c>
      <c r="Q104" s="10">
        <f t="shared" si="648"/>
        <v>821.80299999999988</v>
      </c>
      <c r="R104" s="10">
        <f t="shared" si="648"/>
        <v>466.85599999999999</v>
      </c>
      <c r="S104" s="10">
        <f t="shared" si="648"/>
        <v>650.01699999999994</v>
      </c>
      <c r="T104" s="10">
        <f t="shared" si="648"/>
        <v>953.63199999999995</v>
      </c>
      <c r="U104" s="10">
        <f t="shared" si="648"/>
        <v>549.49299999999994</v>
      </c>
      <c r="V104" s="10">
        <f t="shared" si="648"/>
        <v>631.92499999999995</v>
      </c>
      <c r="W104" s="10">
        <f t="shared" si="648"/>
        <v>914.66799999999967</v>
      </c>
      <c r="X104" s="10">
        <f t="shared" si="648"/>
        <v>796.26099999999997</v>
      </c>
      <c r="Y104" s="10">
        <f t="shared" si="648"/>
        <v>756.99099999999999</v>
      </c>
      <c r="Z104" s="10">
        <f t="shared" si="648"/>
        <v>1092.1500000000001</v>
      </c>
      <c r="AA104" s="10">
        <f t="shared" si="648"/>
        <v>1351.6979999999999</v>
      </c>
      <c r="AB104" s="10">
        <f t="shared" si="648"/>
        <v>1463.5989999999999</v>
      </c>
      <c r="AC104" s="10">
        <f t="shared" si="648"/>
        <v>2287.741</v>
      </c>
      <c r="AD104" s="10">
        <f t="shared" si="648"/>
        <v>2127.3560000000002</v>
      </c>
      <c r="AE104" s="10">
        <f t="shared" ref="AE104:AF104" si="649">+AE77</f>
        <v>4359.384</v>
      </c>
      <c r="AF104" s="10">
        <f t="shared" si="649"/>
        <v>5048.5889999999999</v>
      </c>
      <c r="AG104" s="10">
        <f t="shared" ref="AG104:AI104" si="650">+AG77</f>
        <v>4855.5919999999996</v>
      </c>
      <c r="AH104" s="10">
        <f t="shared" si="650"/>
        <v>5416.08</v>
      </c>
      <c r="AI104" s="10">
        <f t="shared" si="650"/>
        <v>5000</v>
      </c>
      <c r="AJ104" s="10">
        <f t="shared" ref="AJ104:AM104" si="651">+AJ77</f>
        <v>5000</v>
      </c>
      <c r="AK104" s="10">
        <f t="shared" si="651"/>
        <v>5000</v>
      </c>
      <c r="AL104" s="10">
        <f t="shared" si="651"/>
        <v>5000</v>
      </c>
      <c r="AM104" s="10">
        <f t="shared" si="651"/>
        <v>5000</v>
      </c>
      <c r="AO104" s="10">
        <f>+AO77</f>
        <v>4.46</v>
      </c>
      <c r="AP104" s="10">
        <f t="shared" ref="AP104:AU104" si="652">+AP77</f>
        <v>80.783000000000001</v>
      </c>
      <c r="AQ104" s="10">
        <f t="shared" si="652"/>
        <v>584.94000000000005</v>
      </c>
      <c r="AR104" s="10">
        <f t="shared" si="652"/>
        <v>1540.0990000000002</v>
      </c>
      <c r="AS104" s="10">
        <f t="shared" si="652"/>
        <v>2388.636</v>
      </c>
      <c r="AT104" s="10">
        <f t="shared" si="652"/>
        <v>3049.7179999999998</v>
      </c>
      <c r="AU104" s="10">
        <f t="shared" si="652"/>
        <v>3997.1</v>
      </c>
      <c r="AV104" s="10">
        <f t="shared" ref="AV104" si="653">+AV77</f>
        <v>10238.08</v>
      </c>
      <c r="AW104" s="10">
        <f>+SUM(AF104:AI104)</f>
        <v>20320.260999999999</v>
      </c>
      <c r="AX104" s="10">
        <f t="shared" ref="AX104:AX110" si="654">+SUM(AJ104:AM104)</f>
        <v>20000</v>
      </c>
    </row>
    <row r="105" spans="1:52" x14ac:dyDescent="0.2">
      <c r="B105" t="s">
        <v>96</v>
      </c>
      <c r="H105" s="10">
        <f>+H78</f>
        <v>1.9489999999999998</v>
      </c>
      <c r="I105" s="10">
        <f t="shared" ref="I105:AD105" si="655">+I78</f>
        <v>5.7309999999999999</v>
      </c>
      <c r="J105" s="10">
        <f t="shared" si="655"/>
        <v>6.3369999999999997</v>
      </c>
      <c r="K105" s="10">
        <f t="shared" si="655"/>
        <v>-16.341000000000001</v>
      </c>
      <c r="L105" s="10">
        <f t="shared" si="655"/>
        <v>-9.2889999999999997</v>
      </c>
      <c r="M105" s="10">
        <f t="shared" si="655"/>
        <v>84.594999999999999</v>
      </c>
      <c r="N105" s="10">
        <f t="shared" si="655"/>
        <v>56.718000000000004</v>
      </c>
      <c r="O105" s="10">
        <f t="shared" si="655"/>
        <v>13.941000000000001</v>
      </c>
      <c r="P105" s="10">
        <f t="shared" si="655"/>
        <v>-31.664000000000001</v>
      </c>
      <c r="Q105" s="10">
        <f t="shared" si="655"/>
        <v>-174.23700000000002</v>
      </c>
      <c r="R105" s="10">
        <f t="shared" si="655"/>
        <v>303.89</v>
      </c>
      <c r="S105" s="10">
        <f t="shared" si="655"/>
        <v>231.983</v>
      </c>
      <c r="T105" s="10">
        <f t="shared" si="655"/>
        <v>183.67399999999998</v>
      </c>
      <c r="U105" s="10">
        <f t="shared" si="655"/>
        <v>391.94299999999998</v>
      </c>
      <c r="V105" s="10">
        <f t="shared" si="655"/>
        <v>27.260999999999996</v>
      </c>
      <c r="W105" s="10">
        <f t="shared" si="655"/>
        <v>192.19200000000004</v>
      </c>
      <c r="X105" s="10">
        <f t="shared" si="655"/>
        <v>325.45399999999995</v>
      </c>
      <c r="Y105" s="10">
        <f t="shared" si="655"/>
        <v>1089.345</v>
      </c>
      <c r="Z105" s="10">
        <f t="shared" si="655"/>
        <v>580.01600000000008</v>
      </c>
      <c r="AA105" s="10">
        <f t="shared" si="655"/>
        <v>298.4730000000003</v>
      </c>
      <c r="AB105" s="10">
        <f t="shared" si="655"/>
        <v>1691.759</v>
      </c>
      <c r="AC105" s="10">
        <f t="shared" si="655"/>
        <v>1520.8920000000001</v>
      </c>
      <c r="AD105" s="10">
        <f t="shared" si="655"/>
        <v>393.17900000000003</v>
      </c>
      <c r="AE105" s="10">
        <f t="shared" ref="AE105:AF105" si="656">+AE78</f>
        <v>132.43700000000001</v>
      </c>
      <c r="AF105" s="10">
        <f t="shared" si="656"/>
        <v>2121.203</v>
      </c>
      <c r="AG105" s="10">
        <f t="shared" ref="AG105:AI105" si="657">+AG78</f>
        <v>553.44000000000005</v>
      </c>
      <c r="AH105" s="10">
        <f t="shared" si="657"/>
        <v>-528.73500000000001</v>
      </c>
      <c r="AI105" s="10">
        <f t="shared" si="657"/>
        <v>500</v>
      </c>
      <c r="AJ105" s="10">
        <f t="shared" ref="AJ105:AM105" si="658">+AJ78</f>
        <v>500</v>
      </c>
      <c r="AK105" s="10">
        <f t="shared" si="658"/>
        <v>500</v>
      </c>
      <c r="AL105" s="10">
        <f t="shared" si="658"/>
        <v>500</v>
      </c>
      <c r="AM105" s="10">
        <f t="shared" si="658"/>
        <v>500</v>
      </c>
      <c r="AO105" s="10">
        <f>+AO78</f>
        <v>-10.227</v>
      </c>
      <c r="AP105" s="10">
        <f t="shared" ref="AP105:AU105" si="659">+AP78</f>
        <v>-10.174000000000001</v>
      </c>
      <c r="AQ105" s="10">
        <f t="shared" si="659"/>
        <v>-2.3239999999999998</v>
      </c>
      <c r="AR105" s="10">
        <f t="shared" si="659"/>
        <v>145.965</v>
      </c>
      <c r="AS105" s="10">
        <f t="shared" si="659"/>
        <v>329.971</v>
      </c>
      <c r="AT105" s="10">
        <f t="shared" si="659"/>
        <v>795.06999999999994</v>
      </c>
      <c r="AU105" s="10">
        <f t="shared" si="659"/>
        <v>2293.288</v>
      </c>
      <c r="AV105" s="10">
        <f t="shared" ref="AV105" si="660">+AV78</f>
        <v>3738.2670000000003</v>
      </c>
      <c r="AW105" s="10">
        <f>+SUM(AF105:AI105)</f>
        <v>2645.9079999999999</v>
      </c>
      <c r="AX105" s="10">
        <f t="shared" si="654"/>
        <v>2000</v>
      </c>
    </row>
    <row r="106" spans="1:52" x14ac:dyDescent="0.2">
      <c r="B106" t="s">
        <v>227</v>
      </c>
      <c r="H106" s="10">
        <f>+H80</f>
        <v>0</v>
      </c>
      <c r="I106" s="10">
        <f t="shared" ref="I106:AD106" si="661">+I80</f>
        <v>0</v>
      </c>
      <c r="J106" s="10">
        <f t="shared" si="661"/>
        <v>0</v>
      </c>
      <c r="K106" s="10">
        <f t="shared" si="661"/>
        <v>0</v>
      </c>
      <c r="L106" s="10">
        <f t="shared" si="661"/>
        <v>0</v>
      </c>
      <c r="M106" s="10">
        <f t="shared" si="661"/>
        <v>0</v>
      </c>
      <c r="N106" s="10">
        <f t="shared" si="661"/>
        <v>0</v>
      </c>
      <c r="O106" s="10">
        <f t="shared" si="661"/>
        <v>0</v>
      </c>
      <c r="P106" s="10">
        <f t="shared" si="661"/>
        <v>0</v>
      </c>
      <c r="Q106" s="10">
        <f t="shared" si="661"/>
        <v>0</v>
      </c>
      <c r="R106" s="10">
        <f t="shared" si="661"/>
        <v>0</v>
      </c>
      <c r="S106" s="10">
        <f t="shared" si="661"/>
        <v>0</v>
      </c>
      <c r="T106" s="10">
        <f t="shared" si="661"/>
        <v>0</v>
      </c>
      <c r="U106" s="10">
        <f t="shared" si="661"/>
        <v>0</v>
      </c>
      <c r="V106" s="10">
        <f t="shared" si="661"/>
        <v>-854.76599999999996</v>
      </c>
      <c r="W106" s="10">
        <f t="shared" si="661"/>
        <v>-1078.819</v>
      </c>
      <c r="X106" s="10">
        <f t="shared" si="661"/>
        <v>-564.81399999999996</v>
      </c>
      <c r="Y106" s="10">
        <f t="shared" si="661"/>
        <v>-1558.0630000000001</v>
      </c>
      <c r="Z106" s="10">
        <f t="shared" si="661"/>
        <v>-1537.1769999999999</v>
      </c>
      <c r="AA106" s="10">
        <f t="shared" si="661"/>
        <v>-1065.6130000000003</v>
      </c>
      <c r="AB106" s="10">
        <f t="shared" si="661"/>
        <v>-1597.7750000000001</v>
      </c>
      <c r="AC106" s="10">
        <f t="shared" si="661"/>
        <v>-3158.442</v>
      </c>
      <c r="AD106" s="10">
        <f t="shared" si="661"/>
        <v>-3513.48</v>
      </c>
      <c r="AE106" s="10">
        <f t="shared" ref="AE106:AF106" si="662">+AE80</f>
        <v>-3580.2069999999999</v>
      </c>
      <c r="AF106" s="10">
        <f t="shared" si="662"/>
        <v>-5067.7520000000004</v>
      </c>
      <c r="AG106" s="10">
        <f t="shared" ref="AG106:AI106" si="663">+AG80</f>
        <v>-5914.6130000000003</v>
      </c>
      <c r="AH106" s="10">
        <f t="shared" si="663"/>
        <v>-4201.62</v>
      </c>
      <c r="AI106" s="10">
        <f t="shared" si="663"/>
        <v>-4056.5878121704841</v>
      </c>
      <c r="AJ106" s="10">
        <f t="shared" ref="AJ106:AM106" si="664">+AJ80</f>
        <v>-3542.4763014127634</v>
      </c>
      <c r="AK106" s="10">
        <f t="shared" si="664"/>
        <v>-4241.0664001364903</v>
      </c>
      <c r="AL106" s="10">
        <f t="shared" si="664"/>
        <v>-4510.8666503371878</v>
      </c>
      <c r="AM106" s="10">
        <f t="shared" si="664"/>
        <v>-4910.8183485855852</v>
      </c>
      <c r="AO106" s="10">
        <f>+AO80</f>
        <v>0</v>
      </c>
      <c r="AP106" s="10">
        <f t="shared" ref="AP106:AU106" si="665">+AP80</f>
        <v>0</v>
      </c>
      <c r="AQ106" s="10">
        <f t="shared" si="665"/>
        <v>0</v>
      </c>
      <c r="AR106" s="10">
        <f t="shared" si="665"/>
        <v>0</v>
      </c>
      <c r="AS106" s="10">
        <f t="shared" si="665"/>
        <v>0</v>
      </c>
      <c r="AT106" s="10">
        <f t="shared" si="665"/>
        <v>-1933.585</v>
      </c>
      <c r="AU106" s="10">
        <f t="shared" si="665"/>
        <v>-4725.6670000000004</v>
      </c>
      <c r="AV106" s="10">
        <f t="shared" ref="AV106" si="666">+AV80</f>
        <v>-11849.904</v>
      </c>
      <c r="AW106" s="10">
        <f>+SUM(AF106:AI106)</f>
        <v>-19240.572812170485</v>
      </c>
      <c r="AX106" s="10">
        <f t="shared" si="654"/>
        <v>-17205.227700472027</v>
      </c>
    </row>
    <row r="107" spans="1:52" ht="13.5" x14ac:dyDescent="0.35">
      <c r="B107" t="s">
        <v>99</v>
      </c>
      <c r="H107" s="25">
        <f>+H81</f>
        <v>0</v>
      </c>
      <c r="I107" s="25">
        <f t="shared" ref="I107:AD107" si="667">+I81</f>
        <v>0</v>
      </c>
      <c r="J107" s="25">
        <f t="shared" si="667"/>
        <v>0</v>
      </c>
      <c r="K107" s="25">
        <f t="shared" si="667"/>
        <v>0</v>
      </c>
      <c r="L107" s="25">
        <f t="shared" si="667"/>
        <v>0</v>
      </c>
      <c r="M107" s="25">
        <f t="shared" si="667"/>
        <v>0</v>
      </c>
      <c r="N107" s="25">
        <f t="shared" si="667"/>
        <v>-8.218</v>
      </c>
      <c r="O107" s="25">
        <f t="shared" si="667"/>
        <v>36.893999999999998</v>
      </c>
      <c r="P107" s="25">
        <f t="shared" si="667"/>
        <v>-0.08</v>
      </c>
      <c r="Q107" s="25">
        <f t="shared" si="667"/>
        <v>0.26400000000000001</v>
      </c>
      <c r="R107" s="25">
        <f t="shared" si="667"/>
        <v>35.457999999999998</v>
      </c>
      <c r="S107" s="25">
        <f t="shared" si="667"/>
        <v>48.012</v>
      </c>
      <c r="T107" s="25">
        <f t="shared" si="667"/>
        <v>146.50899999999999</v>
      </c>
      <c r="U107" s="25">
        <f t="shared" si="667"/>
        <v>-1.3720000000000001</v>
      </c>
      <c r="V107" s="25">
        <f t="shared" si="667"/>
        <v>85.010999999999996</v>
      </c>
      <c r="W107" s="25">
        <f t="shared" si="667"/>
        <v>16.680000000000035</v>
      </c>
      <c r="X107" s="25">
        <f t="shared" si="667"/>
        <v>-33.616</v>
      </c>
      <c r="Y107" s="25">
        <f t="shared" si="667"/>
        <v>-53.493000000000002</v>
      </c>
      <c r="Z107" s="25">
        <f t="shared" si="667"/>
        <v>10.731999999999999</v>
      </c>
      <c r="AA107" s="25">
        <f t="shared" si="667"/>
        <v>-78.907999999999987</v>
      </c>
      <c r="AB107" s="25">
        <f t="shared" si="667"/>
        <v>106.389</v>
      </c>
      <c r="AC107" s="25">
        <f t="shared" si="667"/>
        <v>9.7810000000000006</v>
      </c>
      <c r="AD107" s="25">
        <f t="shared" si="667"/>
        <v>-105.81100000000001</v>
      </c>
      <c r="AE107" s="25">
        <f t="shared" ref="AE107:AF107" si="668">+AE81</f>
        <v>-15.066000000000001</v>
      </c>
      <c r="AF107" s="25">
        <f t="shared" si="668"/>
        <v>-52.43</v>
      </c>
      <c r="AG107" s="25">
        <f t="shared" ref="AG107:AI107" si="669">+AG81</f>
        <v>-49.582999999999998</v>
      </c>
      <c r="AH107" s="25">
        <f t="shared" si="669"/>
        <v>2.5129999999999999</v>
      </c>
      <c r="AI107" s="25">
        <f t="shared" si="669"/>
        <v>-50</v>
      </c>
      <c r="AJ107" s="25">
        <f t="shared" ref="AJ107:AM107" si="670">+AJ81</f>
        <v>-50</v>
      </c>
      <c r="AK107" s="25">
        <f t="shared" si="670"/>
        <v>-50</v>
      </c>
      <c r="AL107" s="25">
        <f t="shared" si="670"/>
        <v>-50</v>
      </c>
      <c r="AM107" s="25">
        <f t="shared" si="670"/>
        <v>-50</v>
      </c>
      <c r="AO107" s="25">
        <f>+AO81</f>
        <v>0</v>
      </c>
      <c r="AP107" s="25">
        <f t="shared" ref="AP107:AU107" si="671">+AP81</f>
        <v>0</v>
      </c>
      <c r="AQ107" s="25">
        <f t="shared" si="671"/>
        <v>0</v>
      </c>
      <c r="AR107" s="25">
        <f t="shared" si="671"/>
        <v>28.675999999999998</v>
      </c>
      <c r="AS107" s="25">
        <f t="shared" si="671"/>
        <v>83.653999999999996</v>
      </c>
      <c r="AT107" s="25">
        <f t="shared" si="671"/>
        <v>246.828</v>
      </c>
      <c r="AU107" s="25">
        <f t="shared" si="671"/>
        <v>-155.285</v>
      </c>
      <c r="AV107" s="25">
        <f t="shared" ref="AV107" si="672">+AV81</f>
        <v>-4.7070000000000061</v>
      </c>
      <c r="AW107" s="25">
        <f>+SUM(AF107:AI107)</f>
        <v>-149.5</v>
      </c>
      <c r="AX107" s="25">
        <f t="shared" si="654"/>
        <v>-200</v>
      </c>
    </row>
    <row r="108" spans="1:52" s="1" customFormat="1" x14ac:dyDescent="0.2">
      <c r="B108" s="38" t="s">
        <v>228</v>
      </c>
      <c r="H108" s="41">
        <f>+IFERROR(H99+SUM(H104:H107),"n/a")</f>
        <v>-83.603000000000407</v>
      </c>
      <c r="I108" s="41">
        <f t="shared" ref="I108:AD108" si="673">+IFERROR(I99+SUM(I104:I107),"n/a")</f>
        <v>-6376.4699999999984</v>
      </c>
      <c r="J108" s="41">
        <f t="shared" si="673"/>
        <v>-980.9050000000002</v>
      </c>
      <c r="K108" s="41">
        <f t="shared" si="673"/>
        <v>-2306.4749999999985</v>
      </c>
      <c r="L108" s="41">
        <f t="shared" si="673"/>
        <v>-1725.1092500000004</v>
      </c>
      <c r="M108" s="41">
        <f t="shared" si="673"/>
        <v>-850.6512500000008</v>
      </c>
      <c r="N108" s="41">
        <f t="shared" si="673"/>
        <v>-2176.2592500000001</v>
      </c>
      <c r="O108" s="41">
        <f t="shared" si="673"/>
        <v>-1461.0562499999996</v>
      </c>
      <c r="P108" s="41">
        <f t="shared" si="673"/>
        <v>-3826.8977499999996</v>
      </c>
      <c r="Q108" s="41">
        <f t="shared" si="673"/>
        <v>-839.63275000000192</v>
      </c>
      <c r="R108" s="41">
        <f t="shared" si="673"/>
        <v>-337.41475000000128</v>
      </c>
      <c r="S108" s="41">
        <f t="shared" si="673"/>
        <v>-965.64074999999775</v>
      </c>
      <c r="T108" s="41">
        <f t="shared" si="673"/>
        <v>-3311.1040000000007</v>
      </c>
      <c r="U108" s="41">
        <f t="shared" si="673"/>
        <v>2489.5800000000004</v>
      </c>
      <c r="V108" s="41">
        <f t="shared" si="673"/>
        <v>1580.7399999999984</v>
      </c>
      <c r="W108" s="41">
        <f t="shared" si="673"/>
        <v>6503.7250000000131</v>
      </c>
      <c r="X108" s="41">
        <f t="shared" si="673"/>
        <v>3074.804249999997</v>
      </c>
      <c r="Y108" s="41">
        <f t="shared" si="673"/>
        <v>9329.0602499999986</v>
      </c>
      <c r="Z108" s="41">
        <f t="shared" si="673"/>
        <v>10979.447249999999</v>
      </c>
      <c r="AA108" s="41">
        <f t="shared" si="673"/>
        <v>10016.498249999991</v>
      </c>
      <c r="AB108" s="41">
        <f t="shared" si="673"/>
        <v>8643.5790000000015</v>
      </c>
      <c r="AC108" s="41">
        <f t="shared" si="673"/>
        <v>13429.315999999993</v>
      </c>
      <c r="AD108" s="41">
        <f t="shared" si="673"/>
        <v>15607.853999999998</v>
      </c>
      <c r="AE108" s="41">
        <f t="shared" ref="AE108:AF108" si="674">+IFERROR(AE99+SUM(AE104:AE107),"n/a")</f>
        <v>23342.104999999996</v>
      </c>
      <c r="AF108" s="41">
        <f t="shared" si="674"/>
        <v>27800.975132689353</v>
      </c>
      <c r="AG108" s="41">
        <f t="shared" ref="AG108" si="675">+IFERROR(AG99+SUM(AG104:AG107),"n/a")</f>
        <v>31787.084132689342</v>
      </c>
      <c r="AH108" s="41">
        <f t="shared" ref="AH108" si="676">+IFERROR(AH99+SUM(AH104:AH107),"n/a")</f>
        <v>24758.408132689339</v>
      </c>
      <c r="AI108" s="41">
        <f t="shared" ref="AI108:AJ108" si="677">+IFERROR(AI99+SUM(AI104:AI107),"n/a")</f>
        <v>22715.043068322087</v>
      </c>
      <c r="AJ108" s="41">
        <f t="shared" si="677"/>
        <v>19774.532374672326</v>
      </c>
      <c r="AK108" s="41">
        <f t="shared" ref="AK108:AM108" si="678">+IFERROR(AK99+SUM(AK104:AK107),"n/a")</f>
        <v>23733.209600773447</v>
      </c>
      <c r="AL108" s="41">
        <f t="shared" si="678"/>
        <v>25262.077685244069</v>
      </c>
      <c r="AM108" s="41">
        <f t="shared" si="678"/>
        <v>27528.470641984983</v>
      </c>
      <c r="AO108" s="41">
        <f t="shared" ref="AO108" si="679">+IFERROR(AO99+SUM(AO104:AO107),"n/a")</f>
        <v>-293.52100000000007</v>
      </c>
      <c r="AP108" s="41">
        <f t="shared" ref="AP108" si="680">+IFERROR(AP99+SUM(AP104:AP107),"n/a")</f>
        <v>-521.77099999999996</v>
      </c>
      <c r="AQ108" s="41">
        <f t="shared" ref="AQ108" si="681">+IFERROR(AQ99+SUM(AQ104:AQ107),"n/a")</f>
        <v>-9747.4529999999977</v>
      </c>
      <c r="AR108" s="41">
        <f t="shared" ref="AR108" si="682">+IFERROR(AR99+SUM(AR104:AR107),"n/a")</f>
        <v>-6213.0760000000009</v>
      </c>
      <c r="AS108" s="41">
        <f t="shared" ref="AS108" si="683">+IFERROR(AS99+SUM(AS104:AS107),"n/a")</f>
        <v>-5969.5869999999995</v>
      </c>
      <c r="AT108" s="41">
        <f t="shared" ref="AT108" si="684">+IFERROR(AT99+SUM(AT104:AT107),"n/a")</f>
        <v>7262.9409999999989</v>
      </c>
      <c r="AU108" s="41">
        <f t="shared" ref="AU108:AW108" si="685">+IFERROR(AU99+SUM(AU104:AU107),"n/a")</f>
        <v>33399.810000000019</v>
      </c>
      <c r="AV108" s="41">
        <f t="shared" ref="AV108" si="686">+IFERROR(AV99+SUM(AV104:AV107),"n/a")</f>
        <v>61022.853999999992</v>
      </c>
      <c r="AW108" s="41">
        <f t="shared" si="685"/>
        <v>107061.51046639011</v>
      </c>
      <c r="AX108" s="41">
        <f t="shared" si="654"/>
        <v>96298.290302674824</v>
      </c>
    </row>
    <row r="109" spans="1:52" ht="10.15" x14ac:dyDescent="0.2">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10"/>
      <c r="AH109" s="44"/>
      <c r="AI109" s="44"/>
      <c r="AJ109" s="44"/>
      <c r="AK109" s="44"/>
      <c r="AL109" s="44"/>
      <c r="AM109" s="44"/>
      <c r="AO109" s="44"/>
      <c r="AP109" s="44"/>
      <c r="AQ109" s="44"/>
      <c r="AR109" s="44"/>
      <c r="AS109" s="44"/>
      <c r="AT109" s="44"/>
      <c r="AU109" s="44"/>
    </row>
    <row r="110" spans="1:52" ht="10.15" x14ac:dyDescent="0.2">
      <c r="B110" t="s">
        <v>69</v>
      </c>
      <c r="H110" s="10">
        <f>-H72</f>
        <v>13.61</v>
      </c>
      <c r="I110" s="10">
        <f t="shared" ref="I110:AD110" si="687">-I72</f>
        <v>5820.49</v>
      </c>
      <c r="J110" s="10">
        <f t="shared" si="687"/>
        <v>479.46099999999996</v>
      </c>
      <c r="K110" s="10">
        <f t="shared" si="687"/>
        <v>528.01199999999994</v>
      </c>
      <c r="L110" s="10">
        <f t="shared" si="687"/>
        <v>498.63199999999995</v>
      </c>
      <c r="M110" s="10">
        <f t="shared" si="687"/>
        <v>591.97500000000002</v>
      </c>
      <c r="N110" s="10">
        <f t="shared" si="687"/>
        <v>668.42700000000002</v>
      </c>
      <c r="O110" s="10">
        <f t="shared" si="687"/>
        <v>798.67200000000003</v>
      </c>
      <c r="P110" s="10">
        <f t="shared" si="687"/>
        <v>809.37300000000005</v>
      </c>
      <c r="Q110" s="10">
        <f t="shared" si="687"/>
        <v>914.51099999999997</v>
      </c>
      <c r="R110" s="10">
        <f t="shared" si="687"/>
        <v>955.92899999999997</v>
      </c>
      <c r="S110" s="10">
        <f t="shared" si="687"/>
        <v>933.23</v>
      </c>
      <c r="T110" s="10">
        <f t="shared" si="687"/>
        <v>972.80899999999997</v>
      </c>
      <c r="U110" s="10">
        <f t="shared" si="687"/>
        <v>1187.7629999999999</v>
      </c>
      <c r="V110" s="10">
        <f t="shared" si="687"/>
        <v>1121.453</v>
      </c>
      <c r="W110" s="10">
        <f t="shared" si="687"/>
        <v>1492.7049999999999</v>
      </c>
      <c r="X110" s="10">
        <f t="shared" si="687"/>
        <v>1522.75</v>
      </c>
      <c r="Y110" s="10">
        <f t="shared" si="687"/>
        <v>1844.348</v>
      </c>
      <c r="Z110" s="10">
        <f t="shared" si="687"/>
        <v>1864.8819999999998</v>
      </c>
      <c r="AA110" s="10">
        <f t="shared" si="687"/>
        <v>2486.3850000000002</v>
      </c>
      <c r="AB110" s="10">
        <f t="shared" si="687"/>
        <v>1533.402</v>
      </c>
      <c r="AC110" s="10">
        <f t="shared" si="687"/>
        <v>1890.6289999999999</v>
      </c>
      <c r="AD110" s="10">
        <f t="shared" si="687"/>
        <v>1469.819</v>
      </c>
      <c r="AE110" s="10">
        <f t="shared" ref="AE110:AF110" si="688">-AE72</f>
        <v>2184.944</v>
      </c>
      <c r="AF110" s="10">
        <f t="shared" si="688"/>
        <v>2578.5420000000004</v>
      </c>
      <c r="AG110" s="10">
        <f t="shared" ref="AG110:AH110" si="689">-AG72</f>
        <v>2422.7620000000002</v>
      </c>
      <c r="AH110" s="10">
        <f t="shared" si="689"/>
        <v>2478.0050000000001</v>
      </c>
      <c r="AI110" s="58">
        <v>0</v>
      </c>
      <c r="AJ110" s="58">
        <v>0</v>
      </c>
      <c r="AK110" s="58">
        <v>0</v>
      </c>
      <c r="AL110" s="58">
        <v>0</v>
      </c>
      <c r="AM110" s="58">
        <v>0</v>
      </c>
      <c r="AO110" s="10">
        <f t="shared" ref="AO110:AU110" si="690">-AO72</f>
        <v>4.0640000000000001</v>
      </c>
      <c r="AP110" s="10">
        <f t="shared" si="690"/>
        <v>116.50500000000001</v>
      </c>
      <c r="AQ110" s="10">
        <f t="shared" si="690"/>
        <v>6841.5729999999994</v>
      </c>
      <c r="AR110" s="10">
        <f t="shared" si="690"/>
        <v>2557.7060000000001</v>
      </c>
      <c r="AS110" s="10">
        <f t="shared" si="690"/>
        <v>3613.0429999999997</v>
      </c>
      <c r="AT110" s="10">
        <f t="shared" si="690"/>
        <v>4774.7299999999996</v>
      </c>
      <c r="AU110" s="10">
        <f t="shared" si="690"/>
        <v>7718.3649999999998</v>
      </c>
      <c r="AV110" s="10">
        <f t="shared" ref="AV110" si="691">-AV72</f>
        <v>7078.7939999999999</v>
      </c>
      <c r="AW110" s="10">
        <f>+SUM(AF110:AI110)</f>
        <v>7479.3090000000002</v>
      </c>
      <c r="AX110" s="10">
        <f t="shared" si="654"/>
        <v>0</v>
      </c>
    </row>
    <row r="111" spans="1:52" ht="12" x14ac:dyDescent="0.35">
      <c r="B111" t="s">
        <v>96</v>
      </c>
      <c r="H111" s="35">
        <f>+IFERROR(H112-H110-H108,"n/a")</f>
        <v>500.6150379396604</v>
      </c>
      <c r="I111" s="35">
        <f t="shared" ref="I111:AD111" si="692">+IFERROR(I112-I110-I108,"n/a")</f>
        <v>1406.4326784597988</v>
      </c>
      <c r="J111" s="35">
        <f t="shared" si="692"/>
        <v>864.77790302102107</v>
      </c>
      <c r="K111" s="35">
        <f t="shared" si="692"/>
        <v>7874.6503805795173</v>
      </c>
      <c r="L111" s="35">
        <f t="shared" si="692"/>
        <v>4725.0552745247933</v>
      </c>
      <c r="M111" s="35">
        <f t="shared" si="692"/>
        <v>2624.7982500000003</v>
      </c>
      <c r="N111" s="35">
        <f t="shared" si="692"/>
        <v>1234.0593936273535</v>
      </c>
      <c r="O111" s="35">
        <f t="shared" si="692"/>
        <v>9864.9970818478523</v>
      </c>
      <c r="P111" s="35">
        <f t="shared" si="692"/>
        <v>2214.8353569636574</v>
      </c>
      <c r="Q111" s="35">
        <f t="shared" si="692"/>
        <v>-575.97504674449476</v>
      </c>
      <c r="R111" s="35">
        <f t="shared" si="692"/>
        <v>-4005.4312500000001</v>
      </c>
      <c r="S111" s="35">
        <f t="shared" si="692"/>
        <v>32876.694939780835</v>
      </c>
      <c r="T111" s="35">
        <f t="shared" si="692"/>
        <v>2883.4440000000059</v>
      </c>
      <c r="U111" s="35">
        <f t="shared" si="692"/>
        <v>5943.2980000000043</v>
      </c>
      <c r="V111" s="35">
        <f t="shared" si="692"/>
        <v>2692.0730000000199</v>
      </c>
      <c r="W111" s="35">
        <f t="shared" si="692"/>
        <v>1939.2929999999596</v>
      </c>
      <c r="X111" s="35">
        <f t="shared" si="692"/>
        <v>-4588.1412499999969</v>
      </c>
      <c r="Y111" s="35">
        <f t="shared" si="692"/>
        <v>12168.161749999996</v>
      </c>
      <c r="Z111" s="35">
        <f t="shared" si="692"/>
        <v>4710.1547499999833</v>
      </c>
      <c r="AA111" s="35">
        <f t="shared" si="692"/>
        <v>-5536.2062499999665</v>
      </c>
      <c r="AB111" s="35">
        <f t="shared" si="692"/>
        <v>-2386.348</v>
      </c>
      <c r="AC111" s="35">
        <f t="shared" si="692"/>
        <v>6354.824000000006</v>
      </c>
      <c r="AD111" s="35">
        <f t="shared" si="692"/>
        <v>6351.1789999999874</v>
      </c>
      <c r="AE111" s="35">
        <f t="shared" ref="AE111:AF111" si="693">+IFERROR(AE112-AE110-AE108,"n/a")</f>
        <v>15157.349000000017</v>
      </c>
      <c r="AF111" s="35">
        <f t="shared" si="693"/>
        <v>-4892.1971326893472</v>
      </c>
      <c r="AG111" s="35">
        <f t="shared" ref="AG111:AH111" si="694">+IFERROR(AG112-AG110-AG108,"n/a")</f>
        <v>8635.9258673106524</v>
      </c>
      <c r="AH111" s="35">
        <f t="shared" si="694"/>
        <v>-3613.3981326893263</v>
      </c>
      <c r="AI111" s="36">
        <f>+AW111-SUM(AF111:AH111)</f>
        <v>9869.6693980680211</v>
      </c>
      <c r="AJ111" s="57">
        <f>+$AX111/4</f>
        <v>2500</v>
      </c>
      <c r="AK111" s="57">
        <f t="shared" ref="AK111:AM111" si="695">+$AX111/4</f>
        <v>2500</v>
      </c>
      <c r="AL111" s="57">
        <f t="shared" si="695"/>
        <v>2500</v>
      </c>
      <c r="AM111" s="57">
        <f t="shared" si="695"/>
        <v>2500</v>
      </c>
      <c r="AO111" s="35">
        <f t="shared" ref="AO111" si="696">+IFERROR(AO112-AO110-AO108,"n/a")</f>
        <v>1166.9330000000004</v>
      </c>
      <c r="AP111" s="35">
        <f t="shared" ref="AP111" si="697">+IFERROR(AP112-AP110-AP108,"n/a")</f>
        <v>711.82400000000189</v>
      </c>
      <c r="AQ111" s="35">
        <f t="shared" ref="AQ111" si="698">+IFERROR(AQ112-AQ110-AQ108,"n/a")</f>
        <v>10646.475999999999</v>
      </c>
      <c r="AR111" s="35">
        <f t="shared" ref="AR111" si="699">+IFERROR(AR112-AR110-AR108,"n/a")</f>
        <v>18448.91</v>
      </c>
      <c r="AS111" s="35">
        <f t="shared" ref="AS111" si="700">+IFERROR(AS112-AS110-AS108,"n/a")</f>
        <v>30510.125</v>
      </c>
      <c r="AT111" s="35">
        <f t="shared" ref="AT111" si="701">+IFERROR(AT112-AT110-AT108,"n/a")</f>
        <v>13458.108</v>
      </c>
      <c r="AU111" s="35">
        <f t="shared" ref="AU111" si="702">+IFERROR(AU112-AU110-AU108,"n/a")</f>
        <v>6753.9689999999828</v>
      </c>
      <c r="AV111" s="35">
        <f t="shared" ref="AV111" si="703">+IFERROR(AV112-AV110-AV108,"n/a")</f>
        <v>25477.004000000015</v>
      </c>
      <c r="AW111" s="57">
        <v>10000</v>
      </c>
      <c r="AX111" s="57">
        <v>10000</v>
      </c>
    </row>
    <row r="112" spans="1:52" s="1" customFormat="1" ht="10.15" x14ac:dyDescent="0.2">
      <c r="B112" s="38" t="s">
        <v>229</v>
      </c>
      <c r="H112" s="225">
        <f>+-(H121-AP121)-SUM(H116:H116)</f>
        <v>430.62203793966</v>
      </c>
      <c r="I112" s="225">
        <f>+-(I121-H121)-SUM(I116:I116)</f>
        <v>850.45267845979993</v>
      </c>
      <c r="J112" s="225">
        <f>+-(J121-I121)-SUM(J116:J116)</f>
        <v>363.33390302102089</v>
      </c>
      <c r="K112" s="225">
        <f>+AQ112-SUM(H112:J112)</f>
        <v>6096.1873805795185</v>
      </c>
      <c r="L112" s="225">
        <f>+-(L121-K121)-SUM(L116:L116)</f>
        <v>3498.5780245247934</v>
      </c>
      <c r="M112" s="225">
        <f>+-(M121-L121)-SUM(M116:M116)</f>
        <v>2366.1219999999994</v>
      </c>
      <c r="N112" s="225">
        <f>+-(N121-M121)-SUM(N116:N116)</f>
        <v>-273.7728563726464</v>
      </c>
      <c r="O112" s="225">
        <f>+AR112-SUM(L112:N112)</f>
        <v>9202.6128318478532</v>
      </c>
      <c r="P112" s="225">
        <f>+-(P121-O121)-SUM(P116:P116)</f>
        <v>-802.68939303634215</v>
      </c>
      <c r="Q112" s="225">
        <f>+-(Q121-P121)-SUM(Q116:Q116)</f>
        <v>-501.09679674449671</v>
      </c>
      <c r="R112" s="225">
        <f>+-(R121-Q121)-SUM(R116:R116)</f>
        <v>-3386.9170000000013</v>
      </c>
      <c r="S112" s="225">
        <f>+AS112-SUM(P112:R112)</f>
        <v>32844.284189780839</v>
      </c>
      <c r="T112" s="225">
        <f>+-(T121-S121)-SUM(T116:T116)</f>
        <v>545.14900000000489</v>
      </c>
      <c r="U112" s="225">
        <f>+-(U121-T121)-SUM(U116:U116)</f>
        <v>9620.6410000000033</v>
      </c>
      <c r="V112" s="225">
        <f>+-(V121-U121)-SUM(V116:V116)</f>
        <v>5394.2660000000178</v>
      </c>
      <c r="W112" s="225">
        <f>+AT112-SUM(T112:V112)</f>
        <v>9935.7229999999727</v>
      </c>
      <c r="X112" s="225">
        <f>+-(X121-W121)-SUM(X116:X116)</f>
        <v>9.4130000000004657</v>
      </c>
      <c r="Y112" s="225">
        <f>+-(Y121-X121)-SUM(Y116:Y116)</f>
        <v>23341.569999999992</v>
      </c>
      <c r="Z112" s="225">
        <f>+-(Z121-Y121)-SUM(Z116:Z116)</f>
        <v>17554.483999999982</v>
      </c>
      <c r="AA112" s="225">
        <f>+AU112-SUM(X112:Z112)</f>
        <v>6966.6770000000251</v>
      </c>
      <c r="AB112" s="225">
        <f>+-(AB121-AA121)-SUM(AB116:AB116)</f>
        <v>7790.6330000000016</v>
      </c>
      <c r="AC112" s="225">
        <f>+-(AC121-AB121)-SUM(AC116:AC116)</f>
        <v>21674.769</v>
      </c>
      <c r="AD112" s="225">
        <f>+-(AD121-AC121)-SUM(AD116:AD116)</f>
        <v>23428.851999999984</v>
      </c>
      <c r="AE112" s="225">
        <f>+AV112-SUM(AB112:AD112)</f>
        <v>40684.398000000016</v>
      </c>
      <c r="AF112" s="225">
        <f>+-(AF121-AE121)-SUM(AF116:AF116)</f>
        <v>25487.320000000007</v>
      </c>
      <c r="AG112" s="225">
        <f>+-(AG121-AF121)-SUM(AG116:AG116)</f>
        <v>42845.771999999997</v>
      </c>
      <c r="AH112" s="225">
        <f>+-(AH121-AG121)-SUM(AH116:AH116)</f>
        <v>23623.015000000014</v>
      </c>
      <c r="AI112" s="41">
        <f t="shared" ref="AI112" si="704">+IFERROR(AI108+AI110+AI111,"n/a")</f>
        <v>32584.712466390109</v>
      </c>
      <c r="AJ112" s="41">
        <f t="shared" ref="AJ112:AM112" si="705">+IFERROR(AJ108+AJ110+AJ111,"n/a")</f>
        <v>22274.532374672326</v>
      </c>
      <c r="AK112" s="41">
        <f t="shared" si="705"/>
        <v>26233.209600773447</v>
      </c>
      <c r="AL112" s="41">
        <f t="shared" si="705"/>
        <v>27762.077685244069</v>
      </c>
      <c r="AM112" s="41">
        <f t="shared" si="705"/>
        <v>30028.470641984983</v>
      </c>
      <c r="AO112" s="41">
        <f t="shared" ref="AO112:AV112" si="706">+IFERROR(AO679+AO689,"n/a")</f>
        <v>877.47600000000023</v>
      </c>
      <c r="AP112" s="41">
        <f t="shared" si="706"/>
        <v>306.55800000000193</v>
      </c>
      <c r="AQ112" s="41">
        <f t="shared" si="706"/>
        <v>7740.5959999999995</v>
      </c>
      <c r="AR112" s="41">
        <f t="shared" si="706"/>
        <v>14793.539999999999</v>
      </c>
      <c r="AS112" s="41">
        <f t="shared" si="706"/>
        <v>28153.581000000002</v>
      </c>
      <c r="AT112" s="41">
        <f t="shared" si="706"/>
        <v>25495.778999999999</v>
      </c>
      <c r="AU112" s="41">
        <f t="shared" si="706"/>
        <v>47872.144</v>
      </c>
      <c r="AV112" s="41">
        <f t="shared" si="706"/>
        <v>93578.652000000002</v>
      </c>
      <c r="AW112" s="41">
        <f t="shared" ref="AW112:AX112" si="707">+IFERROR(AW108+AW110+AW111,"n/a")</f>
        <v>124540.81946639011</v>
      </c>
      <c r="AX112" s="41">
        <f t="shared" si="707"/>
        <v>106298.29030267482</v>
      </c>
      <c r="AZ112" s="207">
        <f>+SUM(AE112:AH112)</f>
        <v>132640.50500000003</v>
      </c>
    </row>
    <row r="113" spans="1:52" ht="10.15" x14ac:dyDescent="0.2">
      <c r="B113" s="30" t="s">
        <v>230</v>
      </c>
      <c r="H113" s="46">
        <f>+IFERROR(H112/H86,"n/a")</f>
        <v>-1.6073564256986927</v>
      </c>
      <c r="I113" s="46">
        <f t="shared" ref="I113:AD113" si="708">+IFERROR(I112/I86,"n/a")</f>
        <v>-1.2629272413339507</v>
      </c>
      <c r="J113" s="46">
        <f t="shared" si="708"/>
        <v>-0.58710003687578372</v>
      </c>
      <c r="K113" s="46">
        <f t="shared" si="708"/>
        <v>-3.2154905189616434</v>
      </c>
      <c r="L113" s="46">
        <f t="shared" si="708"/>
        <v>-2.5369000871052743</v>
      </c>
      <c r="M113" s="46">
        <f t="shared" si="708"/>
        <v>-5.7531384110388348</v>
      </c>
      <c r="N113" s="46">
        <f t="shared" si="708"/>
        <v>0.16488059809329417</v>
      </c>
      <c r="O113" s="46">
        <f t="shared" si="708"/>
        <v>-11.291785021095963</v>
      </c>
      <c r="P113" s="46">
        <f t="shared" si="708"/>
        <v>0.25324275945069613</v>
      </c>
      <c r="Q113" s="46">
        <f t="shared" si="708"/>
        <v>6.4874457444167462</v>
      </c>
      <c r="R113" s="46">
        <f t="shared" si="708"/>
        <v>-7.2619067528597512</v>
      </c>
      <c r="S113" s="46">
        <f t="shared" si="708"/>
        <v>-177.98885920869949</v>
      </c>
      <c r="T113" s="46">
        <f t="shared" si="708"/>
        <v>-0.28838796571184577</v>
      </c>
      <c r="U113" s="46">
        <f t="shared" si="708"/>
        <v>2.332103606374897</v>
      </c>
      <c r="V113" s="46">
        <f t="shared" si="708"/>
        <v>1.7123805932150724</v>
      </c>
      <c r="W113" s="46">
        <f t="shared" si="708"/>
        <v>1.1766059443230505</v>
      </c>
      <c r="X113" s="46">
        <f t="shared" si="708"/>
        <v>2.2409551758971178E-3</v>
      </c>
      <c r="Y113" s="46">
        <f t="shared" si="708"/>
        <v>2.1660106743551468</v>
      </c>
      <c r="Z113" s="46">
        <f t="shared" si="708"/>
        <v>1.4103140814781383</v>
      </c>
      <c r="AA113" s="46">
        <f t="shared" si="708"/>
        <v>0.57548400473493444</v>
      </c>
      <c r="AB113" s="46">
        <f t="shared" si="708"/>
        <v>0.76933946463854042</v>
      </c>
      <c r="AC113" s="46">
        <f t="shared" si="708"/>
        <v>1.4194946401144886</v>
      </c>
      <c r="AD113" s="46">
        <f t="shared" si="708"/>
        <v>1.3759755927673805</v>
      </c>
      <c r="AE113" s="46">
        <f t="shared" ref="AE113:AF113" si="709">+IFERROR(AE112/AE86,"n/a")</f>
        <v>1.5969407837666623</v>
      </c>
      <c r="AF113" s="46">
        <f t="shared" si="709"/>
        <v>0.83286982581583002</v>
      </c>
      <c r="AG113" s="46">
        <f t="shared" ref="AG113:AH113" si="710">+IFERROR(AG112/AG86,"n/a")</f>
        <v>1.2443542418834683</v>
      </c>
      <c r="AH113" s="46">
        <f t="shared" si="710"/>
        <v>0.86031072627944105</v>
      </c>
      <c r="AI113" s="46">
        <f t="shared" ref="AI113:AJ113" si="711">+IFERROR(AI112/AI86,"n/a")</f>
        <v>1.2477232744278164</v>
      </c>
      <c r="AJ113" s="46">
        <f t="shared" si="711"/>
        <v>0.98021917973937578</v>
      </c>
      <c r="AK113" s="46">
        <f t="shared" ref="AK113:AM113" si="712">+IFERROR(AK112/AK86,"n/a")</f>
        <v>0.98315388479185895</v>
      </c>
      <c r="AL113" s="46">
        <f t="shared" si="712"/>
        <v>0.98406682515189114</v>
      </c>
      <c r="AM113" s="46">
        <f t="shared" si="712"/>
        <v>0.96934918652440305</v>
      </c>
      <c r="AN113" s="28"/>
      <c r="AO113" s="28">
        <f t="shared" ref="AO113" si="713">+IFERROR(AO112/AO86,"n/a")</f>
        <v>-2.7563940667583928</v>
      </c>
      <c r="AP113" s="28">
        <f t="shared" ref="AP113" si="714">+IFERROR(AP112/AP86,"n/a")</f>
        <v>-0.82364446784902057</v>
      </c>
      <c r="AQ113" s="28">
        <f t="shared" ref="AQ113" si="715">+IFERROR(AQ112/AQ86,"n/a")</f>
        <v>-2.2397246797498194</v>
      </c>
      <c r="AR113" s="28">
        <f t="shared" ref="AR113" si="716">+IFERROR(AR112/AR86,"n/a")</f>
        <v>-3.4679688168476233</v>
      </c>
      <c r="AS113" s="28">
        <f t="shared" ref="AS113" si="717">+IFERROR(AS112/AS86,"n/a")</f>
        <v>-9.495238313657822</v>
      </c>
      <c r="AT113" s="28">
        <f t="shared" ref="AT113" si="718">+IFERROR(AT112/AT86,"n/a")</f>
        <v>1.8435761667267925</v>
      </c>
      <c r="AU113" s="28">
        <f t="shared" ref="AU113:AV113" si="719">+IFERROR(AU112/AU86,"n/a")</f>
        <v>1.2110417573895405</v>
      </c>
      <c r="AV113" s="28">
        <f t="shared" si="719"/>
        <v>1.3781977579383302</v>
      </c>
      <c r="AW113" s="28">
        <f t="shared" ref="AW113:AX113" si="720">+IFERROR(AW112/AW86,"n/a")</f>
        <v>1.0500206118851318</v>
      </c>
      <c r="AX113" s="28">
        <f t="shared" si="720"/>
        <v>0.95997557238100184</v>
      </c>
      <c r="AZ113" s="33">
        <f>+AZ112/'Simple Model - Case 1'!F123</f>
        <v>18172.172596621505</v>
      </c>
    </row>
    <row r="114" spans="1:52" ht="10.15" x14ac:dyDescent="0.2">
      <c r="B114" s="30"/>
      <c r="H114" s="46"/>
      <c r="I114" s="46"/>
      <c r="J114" s="46"/>
      <c r="K114" s="46"/>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28"/>
      <c r="AO114" s="28"/>
      <c r="AP114" s="28"/>
      <c r="AQ114" s="28"/>
      <c r="AR114" s="28"/>
      <c r="AS114" s="28"/>
      <c r="AT114" s="28"/>
      <c r="AU114" s="28"/>
      <c r="AV114" s="28"/>
      <c r="AW114" s="28"/>
      <c r="AX114" s="28"/>
    </row>
    <row r="115" spans="1:52" ht="10.15" x14ac:dyDescent="0.2">
      <c r="B115" s="19" t="s">
        <v>65</v>
      </c>
      <c r="H115" s="46"/>
      <c r="I115" s="46"/>
      <c r="J115" s="46"/>
      <c r="K115" s="46"/>
      <c r="L115" s="46"/>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28"/>
      <c r="AO115" s="28"/>
      <c r="AP115" s="28"/>
      <c r="AQ115" s="28"/>
      <c r="AR115" s="28"/>
      <c r="AS115" s="28"/>
      <c r="AT115" s="28"/>
      <c r="AU115" s="28"/>
      <c r="AV115" s="28"/>
      <c r="AW115" s="28"/>
      <c r="AX115" s="28"/>
    </row>
    <row r="116" spans="1:52" ht="10.15" x14ac:dyDescent="0.2">
      <c r="B116" s="20" t="s">
        <v>332</v>
      </c>
      <c r="H116" s="224">
        <f>+$AQ116*H715/$AQ715</f>
        <v>5945.5149620603406</v>
      </c>
      <c r="I116" s="224">
        <f t="shared" ref="I116:J116" si="721">+$AQ116*I715/$AQ715</f>
        <v>-3.86767845980083</v>
      </c>
      <c r="J116" s="224">
        <f t="shared" si="721"/>
        <v>11777.090096978978</v>
      </c>
      <c r="K116" s="224">
        <f>+AQ116-SUM(H116:J116)</f>
        <v>-14.225380579518969</v>
      </c>
      <c r="L116" s="224">
        <f>+$AR116*L715/$AR715</f>
        <v>4131.6499754752058</v>
      </c>
      <c r="M116" s="224">
        <f>+$AR116*M715/$AR715</f>
        <v>0</v>
      </c>
      <c r="N116" s="224">
        <f>+$AR116*N715/$AR715</f>
        <v>3600.9308563726495</v>
      </c>
      <c r="O116" s="224">
        <f>+AR116-SUM(L116:N116)</f>
        <v>462.01616815214402</v>
      </c>
      <c r="P116" s="224">
        <f>+$AS116*P715/$AS715</f>
        <v>881.28639303634372</v>
      </c>
      <c r="Q116" s="224">
        <f t="shared" ref="Q116:R116" si="722">+$AS116*Q715/$AS715</f>
        <v>6154.7027967444965</v>
      </c>
      <c r="R116" s="224">
        <f t="shared" si="722"/>
        <v>0</v>
      </c>
      <c r="S116" s="224">
        <f>+AS116-SUM(P116:R116)</f>
        <v>30832.787810219161</v>
      </c>
      <c r="T116" s="224">
        <f>+$AT116*T715/$AT715</f>
        <v>0</v>
      </c>
      <c r="U116" s="224">
        <f t="shared" ref="U116:V116" si="723">+$AT116*U715/$AT715</f>
        <v>0</v>
      </c>
      <c r="V116" s="224">
        <f t="shared" si="723"/>
        <v>0</v>
      </c>
      <c r="W116" s="224">
        <f>+AW116-SUM(T116:V116)</f>
        <v>0</v>
      </c>
      <c r="X116" s="224">
        <f>+$AU116*X715/$AU715</f>
        <v>0</v>
      </c>
      <c r="Y116" s="224">
        <f t="shared" ref="Y116:Z116" si="724">+$AU116*Y715/$AU715</f>
        <v>0</v>
      </c>
      <c r="Z116" s="224">
        <f t="shared" si="724"/>
        <v>0</v>
      </c>
      <c r="AA116" s="224">
        <f>+BA116-SUM(X116:Z116)</f>
        <v>0</v>
      </c>
      <c r="AB116" s="224">
        <f>+$AV116*AB715/$AV715</f>
        <v>0</v>
      </c>
      <c r="AC116" s="224">
        <f t="shared" ref="AC116:AD116" si="725">+$AV116*AC715/$AV715</f>
        <v>0</v>
      </c>
      <c r="AD116" s="224">
        <f t="shared" si="725"/>
        <v>0</v>
      </c>
      <c r="AE116" s="224">
        <f>+BE116-SUM(AB116:AD116)</f>
        <v>0</v>
      </c>
      <c r="AF116" s="146">
        <v>0</v>
      </c>
      <c r="AG116" s="146">
        <v>0</v>
      </c>
      <c r="AH116" s="146">
        <v>0</v>
      </c>
      <c r="AI116" s="146">
        <v>0</v>
      </c>
      <c r="AJ116" s="146">
        <v>0</v>
      </c>
      <c r="AK116" s="146">
        <v>0</v>
      </c>
      <c r="AL116" s="146">
        <v>0</v>
      </c>
      <c r="AM116" s="146">
        <v>0</v>
      </c>
      <c r="AN116" s="28"/>
      <c r="AO116" s="147">
        <f>+IFERROR(AO700+AO704+AO713+AO705+AO711,"n/a")</f>
        <v>511.911</v>
      </c>
      <c r="AP116" s="147">
        <f t="shared" ref="AP116:AU116" si="726">+IFERROR(AP700+AP704+AP713+AP705+AP711,"n/a")</f>
        <v>1414.229</v>
      </c>
      <c r="AQ116" s="147">
        <f t="shared" si="726"/>
        <v>17704.511999999999</v>
      </c>
      <c r="AR116" s="147">
        <f t="shared" si="726"/>
        <v>8194.5969999999998</v>
      </c>
      <c r="AS116" s="147">
        <f t="shared" si="726"/>
        <v>37868.777000000002</v>
      </c>
      <c r="AT116" s="147">
        <f t="shared" si="726"/>
        <v>0</v>
      </c>
      <c r="AU116" s="147">
        <f t="shared" si="726"/>
        <v>0</v>
      </c>
      <c r="AV116" s="147">
        <f t="shared" ref="AV116" si="727">+IFERROR(AV700+AV704+AV713+AV705+AV711,"n/a")</f>
        <v>0</v>
      </c>
      <c r="AW116" s="53">
        <f>+SUM(AF116:AI116)</f>
        <v>0</v>
      </c>
      <c r="AX116" s="53">
        <f t="shared" ref="AX116" si="728">+SUM(AJ116:AM116)</f>
        <v>0</v>
      </c>
    </row>
    <row r="117" spans="1:52" ht="10.15" x14ac:dyDescent="0.2">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10"/>
      <c r="AG117" s="33"/>
      <c r="AI117" s="10"/>
      <c r="AJ117" s="10"/>
      <c r="AK117" s="10"/>
      <c r="AL117" s="10"/>
      <c r="AM117" s="10"/>
      <c r="AO117" s="44"/>
      <c r="AP117" s="44"/>
      <c r="AQ117" s="44"/>
      <c r="AR117" s="44"/>
      <c r="AS117" s="44"/>
      <c r="AT117" s="44"/>
      <c r="AU117" s="44"/>
    </row>
    <row r="118" spans="1:52" ht="10.15" x14ac:dyDescent="0.2">
      <c r="B118" s="24" t="s">
        <v>232</v>
      </c>
      <c r="H118" s="44"/>
      <c r="I118" s="44"/>
      <c r="J118" s="44"/>
      <c r="K118" s="44"/>
      <c r="L118" s="44"/>
      <c r="M118" s="44"/>
      <c r="N118" s="44"/>
      <c r="O118" s="44"/>
      <c r="P118" s="44"/>
      <c r="Q118" s="44"/>
      <c r="R118" s="44"/>
      <c r="S118" s="44"/>
      <c r="T118" s="44"/>
      <c r="U118" s="44"/>
      <c r="V118" s="44"/>
      <c r="W118" s="44"/>
      <c r="X118" s="44"/>
      <c r="Y118" s="44"/>
      <c r="Z118" s="44"/>
      <c r="AA118" s="44"/>
      <c r="AB118" s="10"/>
      <c r="AC118" s="10"/>
      <c r="AD118" s="44"/>
      <c r="AE118" s="44"/>
      <c r="AF118" s="10"/>
      <c r="AG118" s="10"/>
      <c r="AH118" s="10"/>
      <c r="AO118" s="44"/>
      <c r="AP118" s="44"/>
      <c r="AQ118" s="44"/>
      <c r="AR118" s="44"/>
      <c r="AS118" s="44"/>
      <c r="AT118" s="44"/>
      <c r="AU118" s="44"/>
    </row>
    <row r="119" spans="1:52" ht="10.15" x14ac:dyDescent="0.2">
      <c r="B119" t="s">
        <v>235</v>
      </c>
      <c r="H119" s="10">
        <f>+H826+H828+H835</f>
        <v>0</v>
      </c>
      <c r="I119" s="10">
        <f t="shared" ref="I119:AD119" si="729">+I826+I828+I835</f>
        <v>0</v>
      </c>
      <c r="J119" s="10">
        <f t="shared" si="729"/>
        <v>0</v>
      </c>
      <c r="K119" s="10">
        <f t="shared" si="729"/>
        <v>0</v>
      </c>
      <c r="L119" s="10">
        <f t="shared" si="729"/>
        <v>0</v>
      </c>
      <c r="M119" s="10">
        <f t="shared" si="729"/>
        <v>0</v>
      </c>
      <c r="N119" s="10">
        <f t="shared" si="729"/>
        <v>5140.3050000000003</v>
      </c>
      <c r="O119" s="10">
        <f t="shared" si="729"/>
        <v>6105.43</v>
      </c>
      <c r="P119" s="10">
        <f t="shared" si="729"/>
        <v>7545.0280000000002</v>
      </c>
      <c r="Q119" s="10">
        <f t="shared" si="729"/>
        <v>8326.9149999999991</v>
      </c>
      <c r="R119" s="10">
        <f t="shared" si="729"/>
        <v>8277.8960000000006</v>
      </c>
      <c r="S119" s="10">
        <f t="shared" si="729"/>
        <v>16299.108</v>
      </c>
      <c r="T119" s="10">
        <f t="shared" si="729"/>
        <v>12137.467000000001</v>
      </c>
      <c r="U119" s="10">
        <f t="shared" si="729"/>
        <v>11342.314</v>
      </c>
      <c r="V119" s="10">
        <f t="shared" si="729"/>
        <v>11684.597</v>
      </c>
      <c r="W119" s="10">
        <f t="shared" si="729"/>
        <v>11788.906999999999</v>
      </c>
      <c r="X119" s="10">
        <f t="shared" si="729"/>
        <v>14057.021000000001</v>
      </c>
      <c r="Y119" s="10">
        <f t="shared" si="729"/>
        <v>14874.632</v>
      </c>
      <c r="Z119" s="10">
        <f t="shared" si="729"/>
        <v>15749.602999999999</v>
      </c>
      <c r="AA119" s="10">
        <f t="shared" si="729"/>
        <v>15461.506000000001</v>
      </c>
      <c r="AB119" s="10">
        <f t="shared" si="729"/>
        <v>15266.945000000002</v>
      </c>
      <c r="AC119" s="10">
        <f t="shared" si="729"/>
        <v>16065.944000000001</v>
      </c>
      <c r="AD119" s="10">
        <f t="shared" si="729"/>
        <v>15975.171</v>
      </c>
      <c r="AE119" s="10">
        <f t="shared" ref="AE119:AF119" si="730">+AE826+AE828+AE835</f>
        <v>5880.0929999999998</v>
      </c>
      <c r="AF119" s="10">
        <f t="shared" si="730"/>
        <v>5314.5590000000002</v>
      </c>
      <c r="AG119" s="10">
        <f t="shared" ref="AG119:AH119" si="731">+AG826+AG828+AG835</f>
        <v>5264.3459999999995</v>
      </c>
      <c r="AH119" s="10">
        <f t="shared" si="731"/>
        <v>5175.9040000000005</v>
      </c>
      <c r="AI119" s="58">
        <f t="shared" ref="AI119:AJ119" si="732">+AH119</f>
        <v>5175.9040000000005</v>
      </c>
      <c r="AJ119" s="58">
        <f t="shared" si="732"/>
        <v>5175.9040000000005</v>
      </c>
      <c r="AK119" s="58">
        <f t="shared" ref="AK119" si="733">+AJ119</f>
        <v>5175.9040000000005</v>
      </c>
      <c r="AL119" s="58">
        <f t="shared" ref="AL119" si="734">+AK119</f>
        <v>5175.9040000000005</v>
      </c>
      <c r="AM119" s="58">
        <f t="shared" ref="AM119" si="735">+AL119</f>
        <v>5175.9040000000005</v>
      </c>
      <c r="AO119" s="10">
        <f t="shared" ref="AO119:AU119" si="736">+AO826+AO828+AO835</f>
        <v>0</v>
      </c>
      <c r="AP119" s="10">
        <f t="shared" si="736"/>
        <v>0</v>
      </c>
      <c r="AQ119" s="10">
        <f t="shared" si="736"/>
        <v>0</v>
      </c>
      <c r="AR119" s="10">
        <f t="shared" si="736"/>
        <v>6105.43</v>
      </c>
      <c r="AS119" s="10">
        <f t="shared" si="736"/>
        <v>16299.108</v>
      </c>
      <c r="AT119" s="10">
        <f t="shared" si="736"/>
        <v>11788.906999999999</v>
      </c>
      <c r="AU119" s="10">
        <f t="shared" si="736"/>
        <v>15461.506000000001</v>
      </c>
      <c r="AV119" s="10">
        <f t="shared" ref="AV119" si="737">+AV826+AV828+AV835</f>
        <v>5880.0929999999998</v>
      </c>
      <c r="AW119" s="10">
        <f>+AI119</f>
        <v>5175.9040000000005</v>
      </c>
      <c r="AX119" s="10">
        <f>+AM119</f>
        <v>5175.9040000000005</v>
      </c>
    </row>
    <row r="120" spans="1:52" ht="12" x14ac:dyDescent="0.35">
      <c r="B120" t="s">
        <v>233</v>
      </c>
      <c r="H120" s="25">
        <f>+H799+H803</f>
        <v>9484.2890000000007</v>
      </c>
      <c r="I120" s="25">
        <f t="shared" ref="I120:AD120" si="738">+I799+I803</f>
        <v>10330.874</v>
      </c>
      <c r="J120" s="25">
        <f t="shared" si="738"/>
        <v>22471.297999999999</v>
      </c>
      <c r="K120" s="25">
        <f t="shared" si="738"/>
        <v>21791.010999999999</v>
      </c>
      <c r="L120" s="25">
        <f t="shared" si="738"/>
        <v>29421.238999999998</v>
      </c>
      <c r="M120" s="25">
        <f t="shared" si="738"/>
        <v>31787.360999999997</v>
      </c>
      <c r="N120" s="25">
        <f t="shared" si="738"/>
        <v>40254.824000000001</v>
      </c>
      <c r="O120" s="25">
        <f t="shared" si="738"/>
        <v>41057.012999999999</v>
      </c>
      <c r="P120" s="25">
        <f t="shared" si="738"/>
        <v>42575.207999999999</v>
      </c>
      <c r="Q120" s="25">
        <f t="shared" si="738"/>
        <v>49010.701000000001</v>
      </c>
      <c r="R120" s="25">
        <f t="shared" si="738"/>
        <v>45574.764999999999</v>
      </c>
      <c r="S120" s="25">
        <f t="shared" si="738"/>
        <v>86972.282999999996</v>
      </c>
      <c r="T120" s="25">
        <f t="shared" si="738"/>
        <v>83355.790999999997</v>
      </c>
      <c r="U120" s="25">
        <f t="shared" si="738"/>
        <v>92181.278999999995</v>
      </c>
      <c r="V120" s="25">
        <f t="shared" si="738"/>
        <v>97917.828000000009</v>
      </c>
      <c r="W120" s="25">
        <f t="shared" si="738"/>
        <v>92943.332999999999</v>
      </c>
      <c r="X120" s="25">
        <f t="shared" si="738"/>
        <v>95220.86</v>
      </c>
      <c r="Y120" s="25">
        <f t="shared" si="738"/>
        <v>119380.041</v>
      </c>
      <c r="Z120" s="25">
        <f t="shared" si="738"/>
        <v>137809.49599999998</v>
      </c>
      <c r="AA120" s="25">
        <f t="shared" si="738"/>
        <v>149438.74600000001</v>
      </c>
      <c r="AB120" s="25">
        <f t="shared" si="738"/>
        <v>157034.81800000003</v>
      </c>
      <c r="AC120" s="25">
        <f t="shared" si="738"/>
        <v>179508.58600000001</v>
      </c>
      <c r="AD120" s="25">
        <f t="shared" si="738"/>
        <v>202846.66500000001</v>
      </c>
      <c r="AE120" s="25">
        <f t="shared" ref="AE120:AF120" si="739">+AE799+AE803</f>
        <v>217209.83399999997</v>
      </c>
      <c r="AF120" s="25">
        <f t="shared" si="739"/>
        <v>242131.62</v>
      </c>
      <c r="AG120" s="25">
        <f t="shared" ref="AG120:AH120" si="740">+AG799+AG803</f>
        <v>284927.179</v>
      </c>
      <c r="AH120" s="25">
        <f t="shared" si="740"/>
        <v>308461.75199999998</v>
      </c>
      <c r="AI120" s="25">
        <f t="shared" ref="AI120:AM120" si="741">+AH120+AI112</f>
        <v>341046.46446639008</v>
      </c>
      <c r="AJ120" s="25">
        <f t="shared" si="741"/>
        <v>363320.99684106238</v>
      </c>
      <c r="AK120" s="25">
        <f t="shared" si="741"/>
        <v>389554.20644183585</v>
      </c>
      <c r="AL120" s="25">
        <f t="shared" si="741"/>
        <v>417316.28412707994</v>
      </c>
      <c r="AM120" s="25">
        <f t="shared" si="741"/>
        <v>447344.75476906495</v>
      </c>
      <c r="AO120" s="25">
        <f t="shared" ref="AO120:AU120" si="742">+AO799+AO803</f>
        <v>1609.8430000000001</v>
      </c>
      <c r="AP120" s="25">
        <f t="shared" si="742"/>
        <v>3108.152</v>
      </c>
      <c r="AQ120" s="25">
        <f t="shared" si="742"/>
        <v>21791.010999999999</v>
      </c>
      <c r="AR120" s="25">
        <f t="shared" si="742"/>
        <v>41057.012999999999</v>
      </c>
      <c r="AS120" s="25">
        <f t="shared" si="742"/>
        <v>86972.282999999996</v>
      </c>
      <c r="AT120" s="25">
        <f t="shared" si="742"/>
        <v>92943.332999999999</v>
      </c>
      <c r="AU120" s="25">
        <f t="shared" si="742"/>
        <v>149438.74600000001</v>
      </c>
      <c r="AV120" s="25">
        <f t="shared" ref="AV120" si="743">+AV799+AV803</f>
        <v>217209.83399999997</v>
      </c>
      <c r="AW120" s="25">
        <f>+AI120</f>
        <v>341046.46446639008</v>
      </c>
      <c r="AX120" s="25">
        <f t="shared" ref="AX120:AX122" si="744">+AM120</f>
        <v>447344.75476906495</v>
      </c>
    </row>
    <row r="121" spans="1:52" s="1" customFormat="1" ht="10.15" x14ac:dyDescent="0.2">
      <c r="B121" s="38" t="s">
        <v>234</v>
      </c>
      <c r="H121" s="42">
        <f>+H119-H120</f>
        <v>-9484.2890000000007</v>
      </c>
      <c r="I121" s="42">
        <f t="shared" ref="I121:AD121" si="745">+I119-I120</f>
        <v>-10330.874</v>
      </c>
      <c r="J121" s="42">
        <f t="shared" si="745"/>
        <v>-22471.297999999999</v>
      </c>
      <c r="K121" s="42">
        <f t="shared" si="745"/>
        <v>-21791.010999999999</v>
      </c>
      <c r="L121" s="42">
        <f t="shared" si="745"/>
        <v>-29421.238999999998</v>
      </c>
      <c r="M121" s="42">
        <f t="shared" si="745"/>
        <v>-31787.360999999997</v>
      </c>
      <c r="N121" s="42">
        <f t="shared" si="745"/>
        <v>-35114.519</v>
      </c>
      <c r="O121" s="42">
        <f t="shared" si="745"/>
        <v>-34951.582999999999</v>
      </c>
      <c r="P121" s="42">
        <f t="shared" si="745"/>
        <v>-35030.18</v>
      </c>
      <c r="Q121" s="42">
        <f t="shared" si="745"/>
        <v>-40683.786</v>
      </c>
      <c r="R121" s="42">
        <f t="shared" si="745"/>
        <v>-37296.868999999999</v>
      </c>
      <c r="S121" s="42">
        <f t="shared" si="745"/>
        <v>-70673.174999999988</v>
      </c>
      <c r="T121" s="42">
        <f t="shared" si="745"/>
        <v>-71218.323999999993</v>
      </c>
      <c r="U121" s="42">
        <f t="shared" si="745"/>
        <v>-80838.964999999997</v>
      </c>
      <c r="V121" s="42">
        <f t="shared" si="745"/>
        <v>-86233.231000000014</v>
      </c>
      <c r="W121" s="42">
        <f t="shared" si="745"/>
        <v>-81154.426000000007</v>
      </c>
      <c r="X121" s="42">
        <f t="shared" si="745"/>
        <v>-81163.839000000007</v>
      </c>
      <c r="Y121" s="42">
        <f t="shared" si="745"/>
        <v>-104505.409</v>
      </c>
      <c r="Z121" s="42">
        <f t="shared" si="745"/>
        <v>-122059.89299999998</v>
      </c>
      <c r="AA121" s="42">
        <f t="shared" si="745"/>
        <v>-133977.24000000002</v>
      </c>
      <c r="AB121" s="42">
        <f t="shared" si="745"/>
        <v>-141767.87300000002</v>
      </c>
      <c r="AC121" s="42">
        <f t="shared" si="745"/>
        <v>-163442.64200000002</v>
      </c>
      <c r="AD121" s="42">
        <f t="shared" si="745"/>
        <v>-186871.49400000001</v>
      </c>
      <c r="AE121" s="42">
        <f t="shared" ref="AE121:AF121" si="746">+AE119-AE120</f>
        <v>-211329.74099999998</v>
      </c>
      <c r="AF121" s="42">
        <f t="shared" si="746"/>
        <v>-236817.06099999999</v>
      </c>
      <c r="AG121" s="42">
        <f t="shared" ref="AG121:AH121" si="747">+AG119-AG120</f>
        <v>-279662.83299999998</v>
      </c>
      <c r="AH121" s="42">
        <f t="shared" si="747"/>
        <v>-303285.848</v>
      </c>
      <c r="AI121" s="42">
        <f t="shared" ref="AI121:AJ121" si="748">+AI119-AI120</f>
        <v>-335870.5604663901</v>
      </c>
      <c r="AJ121" s="42">
        <f t="shared" si="748"/>
        <v>-358145.0928410624</v>
      </c>
      <c r="AK121" s="42">
        <f t="shared" ref="AK121:AM121" si="749">+AK119-AK120</f>
        <v>-384378.30244183587</v>
      </c>
      <c r="AL121" s="42">
        <f t="shared" si="749"/>
        <v>-412140.38012707996</v>
      </c>
      <c r="AM121" s="42">
        <f t="shared" si="749"/>
        <v>-442168.85076906497</v>
      </c>
      <c r="AO121" s="42">
        <f t="shared" ref="AO121" si="750">+AO119-AO120</f>
        <v>-1609.8430000000001</v>
      </c>
      <c r="AP121" s="42">
        <f t="shared" ref="AP121" si="751">+AP119-AP120</f>
        <v>-3108.152</v>
      </c>
      <c r="AQ121" s="42">
        <f t="shared" ref="AQ121" si="752">+AQ119-AQ120</f>
        <v>-21791.010999999999</v>
      </c>
      <c r="AR121" s="42">
        <f t="shared" ref="AR121" si="753">+AR119-AR120</f>
        <v>-34951.582999999999</v>
      </c>
      <c r="AS121" s="42">
        <f t="shared" ref="AS121" si="754">+AS119-AS120</f>
        <v>-70673.174999999988</v>
      </c>
      <c r="AT121" s="42">
        <f t="shared" ref="AT121" si="755">+AT119-AT120</f>
        <v>-81154.426000000007</v>
      </c>
      <c r="AU121" s="42">
        <f t="shared" ref="AU121:AV121" si="756">+AU119-AU120</f>
        <v>-133977.24000000002</v>
      </c>
      <c r="AV121" s="42">
        <f t="shared" si="756"/>
        <v>-211329.74099999998</v>
      </c>
      <c r="AW121" s="42">
        <f>+AI121</f>
        <v>-335870.5604663901</v>
      </c>
      <c r="AX121" s="42">
        <f t="shared" si="744"/>
        <v>-442168.85076906497</v>
      </c>
    </row>
    <row r="122" spans="1:52" s="1" customFormat="1" ht="10.15" x14ac:dyDescent="0.2">
      <c r="B122" s="20" t="s">
        <v>236</v>
      </c>
      <c r="E122" s="42"/>
      <c r="H122" s="53">
        <f t="shared" ref="H122:AE122" si="757">+H121-H828-H835</f>
        <v>-9484.2890000000007</v>
      </c>
      <c r="I122" s="53">
        <f t="shared" si="757"/>
        <v>-10330.874</v>
      </c>
      <c r="J122" s="53">
        <f t="shared" si="757"/>
        <v>-22471.297999999999</v>
      </c>
      <c r="K122" s="53">
        <f t="shared" si="757"/>
        <v>-21791.010999999999</v>
      </c>
      <c r="L122" s="53">
        <f t="shared" si="757"/>
        <v>-29421.238999999998</v>
      </c>
      <c r="M122" s="53">
        <f t="shared" si="757"/>
        <v>-31787.360999999997</v>
      </c>
      <c r="N122" s="53">
        <f t="shared" si="757"/>
        <v>-40254.824000000001</v>
      </c>
      <c r="O122" s="53">
        <f t="shared" si="757"/>
        <v>-40158.264999999999</v>
      </c>
      <c r="P122" s="53">
        <f t="shared" si="757"/>
        <v>-40460.667000000001</v>
      </c>
      <c r="Q122" s="53">
        <f t="shared" si="757"/>
        <v>-46256.235000000001</v>
      </c>
      <c r="R122" s="53">
        <f t="shared" si="757"/>
        <v>-42801.741999999998</v>
      </c>
      <c r="S122" s="53">
        <f t="shared" si="757"/>
        <v>-85105.96699999999</v>
      </c>
      <c r="T122" s="53">
        <f t="shared" si="757"/>
        <v>-82720.795999999988</v>
      </c>
      <c r="U122" s="53">
        <f t="shared" si="757"/>
        <v>-92181.278999999995</v>
      </c>
      <c r="V122" s="53">
        <f t="shared" si="757"/>
        <v>-97917.828000000009</v>
      </c>
      <c r="W122" s="53">
        <f t="shared" si="757"/>
        <v>-92943.333000000013</v>
      </c>
      <c r="X122" s="53">
        <f t="shared" si="757"/>
        <v>-95220.860000000015</v>
      </c>
      <c r="Y122" s="53">
        <f t="shared" si="757"/>
        <v>-119380.041</v>
      </c>
      <c r="Z122" s="53">
        <f t="shared" si="757"/>
        <v>-137809.49599999998</v>
      </c>
      <c r="AA122" s="53">
        <f t="shared" si="757"/>
        <v>-149438.74600000001</v>
      </c>
      <c r="AB122" s="53">
        <f t="shared" si="757"/>
        <v>-157034.81800000003</v>
      </c>
      <c r="AC122" s="53">
        <f t="shared" si="757"/>
        <v>-179508.58600000004</v>
      </c>
      <c r="AD122" s="53">
        <f t="shared" si="757"/>
        <v>-202846.66500000001</v>
      </c>
      <c r="AE122" s="53">
        <f t="shared" si="757"/>
        <v>-217209.83399999997</v>
      </c>
      <c r="AF122" s="53">
        <f t="shared" ref="AF122:AG122" si="758">+AF121-AF828-AF835</f>
        <v>-242131.62</v>
      </c>
      <c r="AG122" s="53">
        <f t="shared" si="758"/>
        <v>-284927.179</v>
      </c>
      <c r="AH122" s="53">
        <f t="shared" ref="AH122" si="759">+AH121-AH828-AH835</f>
        <v>-308461.75199999998</v>
      </c>
      <c r="AI122" s="53">
        <f t="shared" ref="AI122" si="760">+-AI120</f>
        <v>-341046.46446639008</v>
      </c>
      <c r="AJ122" s="53">
        <f t="shared" ref="AJ122:AM122" si="761">+-AJ120</f>
        <v>-363320.99684106238</v>
      </c>
      <c r="AK122" s="53">
        <f t="shared" si="761"/>
        <v>-389554.20644183585</v>
      </c>
      <c r="AL122" s="53">
        <f t="shared" si="761"/>
        <v>-417316.28412707994</v>
      </c>
      <c r="AM122" s="53">
        <f t="shared" si="761"/>
        <v>-447344.75476906495</v>
      </c>
      <c r="AO122" s="53">
        <f t="shared" ref="AO122:AV122" si="762">+AO121-AO828-AO835</f>
        <v>-1609.8430000000001</v>
      </c>
      <c r="AP122" s="53">
        <f t="shared" si="762"/>
        <v>-3108.152</v>
      </c>
      <c r="AQ122" s="53">
        <f t="shared" si="762"/>
        <v>-21791.010999999999</v>
      </c>
      <c r="AR122" s="53">
        <f t="shared" si="762"/>
        <v>-40158.264999999999</v>
      </c>
      <c r="AS122" s="53">
        <f t="shared" si="762"/>
        <v>-85105.96699999999</v>
      </c>
      <c r="AT122" s="53">
        <f t="shared" si="762"/>
        <v>-92943.333000000013</v>
      </c>
      <c r="AU122" s="53">
        <f t="shared" si="762"/>
        <v>-149438.74600000001</v>
      </c>
      <c r="AV122" s="53">
        <f t="shared" si="762"/>
        <v>-217209.83399999997</v>
      </c>
      <c r="AW122" s="53">
        <f>+AI122</f>
        <v>-341046.46446639008</v>
      </c>
      <c r="AX122" s="53">
        <f t="shared" si="744"/>
        <v>-447344.75476906495</v>
      </c>
    </row>
    <row r="123" spans="1:52" ht="10.15" x14ac:dyDescent="0.2">
      <c r="B123" s="30"/>
      <c r="H123" s="44"/>
      <c r="I123" s="44"/>
      <c r="J123" s="44"/>
      <c r="K123" s="44"/>
      <c r="L123" s="44"/>
      <c r="M123" s="44"/>
      <c r="N123" s="44"/>
      <c r="O123" s="44"/>
      <c r="P123" s="44"/>
      <c r="Q123" s="44"/>
      <c r="R123" s="44"/>
      <c r="S123" s="44"/>
      <c r="T123" s="44"/>
      <c r="U123" s="44"/>
      <c r="V123" s="44"/>
      <c r="W123" s="44"/>
      <c r="X123" s="44"/>
      <c r="Y123" s="44"/>
      <c r="Z123" s="44"/>
      <c r="AA123" s="42"/>
      <c r="AB123" s="213"/>
      <c r="AC123" s="214"/>
      <c r="AD123" s="214"/>
      <c r="AE123" s="213"/>
      <c r="AF123" s="213"/>
      <c r="AG123" s="33"/>
      <c r="AO123" s="44"/>
      <c r="AP123" s="44"/>
      <c r="AQ123" s="44"/>
      <c r="AR123" s="44"/>
      <c r="AS123" s="44"/>
      <c r="AT123" s="44"/>
      <c r="AU123" s="44"/>
    </row>
    <row r="124" spans="1:52" ht="10.15" outlineLevel="1" x14ac:dyDescent="0.2">
      <c r="B124" s="6" t="s">
        <v>377</v>
      </c>
      <c r="C124" s="5"/>
    </row>
    <row r="125" spans="1:52" ht="10.15" outlineLevel="1" x14ac:dyDescent="0.2">
      <c r="B125" s="1"/>
      <c r="F125" s="10"/>
    </row>
    <row r="126" spans="1:52" ht="10.15" outlineLevel="1" x14ac:dyDescent="0.2">
      <c r="A126" t="s">
        <v>245</v>
      </c>
      <c r="B126" t="s">
        <v>225</v>
      </c>
      <c r="H126" s="10">
        <f>+H556</f>
        <v>1108.0999999999999</v>
      </c>
      <c r="I126" s="10">
        <f t="shared" ref="I126:AD126" si="763">+I556</f>
        <v>2370.9520000000002</v>
      </c>
      <c r="J126" s="10">
        <f t="shared" si="763"/>
        <v>2974.145</v>
      </c>
      <c r="K126" s="10">
        <f t="shared" si="763"/>
        <v>5062.3779999999997</v>
      </c>
      <c r="L126" s="10">
        <f t="shared" si="763"/>
        <v>3948.4140000000002</v>
      </c>
      <c r="M126" s="10">
        <f t="shared" si="763"/>
        <v>6467.0730000000003</v>
      </c>
      <c r="N126" s="10">
        <f t="shared" si="763"/>
        <v>6711.4549999999999</v>
      </c>
      <c r="O126" s="10">
        <f t="shared" si="763"/>
        <v>9686.6990000000005</v>
      </c>
      <c r="P126" s="10">
        <f t="shared" si="763"/>
        <v>5492.27</v>
      </c>
      <c r="Q126" s="10">
        <f t="shared" si="763"/>
        <v>11054.698</v>
      </c>
      <c r="R126" s="10">
        <f t="shared" si="763"/>
        <v>12484.835999999999</v>
      </c>
      <c r="S126" s="10">
        <f t="shared" si="763"/>
        <v>18921.974999999999</v>
      </c>
      <c r="T126" s="10">
        <f t="shared" si="763"/>
        <v>14111.486000000001</v>
      </c>
      <c r="U126" s="10">
        <f t="shared" si="763"/>
        <v>18080.419000000002</v>
      </c>
      <c r="V126" s="10">
        <f t="shared" si="763"/>
        <v>17946.495999999999</v>
      </c>
      <c r="W126" s="10">
        <f t="shared" si="763"/>
        <v>22425.001000000004</v>
      </c>
      <c r="X126" s="10">
        <f t="shared" si="763"/>
        <v>18158.424999999999</v>
      </c>
      <c r="Y126" s="10">
        <f t="shared" si="763"/>
        <v>25172.651000000002</v>
      </c>
      <c r="Z126" s="10">
        <f t="shared" si="763"/>
        <v>28425.645</v>
      </c>
      <c r="AA126" s="10">
        <f t="shared" si="763"/>
        <v>30965.202999999994</v>
      </c>
      <c r="AB126" s="10">
        <f t="shared" si="763"/>
        <v>27244.425999999999</v>
      </c>
      <c r="AC126" s="10">
        <f t="shared" si="763"/>
        <v>37932.830999999998</v>
      </c>
      <c r="AD126" s="10">
        <f t="shared" si="763"/>
        <v>39687.678</v>
      </c>
      <c r="AE126" s="10">
        <f t="shared" ref="AE126:AG126" si="764">+AE556</f>
        <v>48675.618000000002</v>
      </c>
      <c r="AF126" s="10">
        <f t="shared" si="764"/>
        <v>42456.243000000002</v>
      </c>
      <c r="AG126" s="10">
        <f t="shared" si="764"/>
        <v>49115.866000000002</v>
      </c>
      <c r="AH126" s="10">
        <f t="shared" ref="AH126" si="765">+AH556</f>
        <v>49351.021999999997</v>
      </c>
      <c r="AI126" s="14">
        <f t="shared" ref="AI126:AI129" si="766">+AI200</f>
        <v>56453.027685972425</v>
      </c>
      <c r="AJ126" s="14">
        <f t="shared" ref="AJ126:AM126" si="767">+AJ200</f>
        <v>46844.262849690873</v>
      </c>
      <c r="AK126" s="14">
        <f t="shared" si="767"/>
        <v>53606.288802990195</v>
      </c>
      <c r="AL126" s="14">
        <f t="shared" si="767"/>
        <v>57216.217753694997</v>
      </c>
      <c r="AM126" s="14">
        <f t="shared" si="767"/>
        <v>65450.087840855049</v>
      </c>
      <c r="AO126" s="10">
        <f t="shared" ref="AO126:AU126" si="768">+AO556</f>
        <v>0</v>
      </c>
      <c r="AP126" s="10">
        <f t="shared" si="768"/>
        <v>1209.2750000000001</v>
      </c>
      <c r="AQ126" s="10">
        <f t="shared" si="768"/>
        <v>11515.575000000001</v>
      </c>
      <c r="AR126" s="10">
        <f t="shared" si="768"/>
        <v>26813.641</v>
      </c>
      <c r="AS126" s="10">
        <f t="shared" si="768"/>
        <v>47953.779000000002</v>
      </c>
      <c r="AT126" s="10">
        <f t="shared" si="768"/>
        <v>72563.402000000002</v>
      </c>
      <c r="AU126" s="10">
        <f t="shared" si="768"/>
        <v>102721.924</v>
      </c>
      <c r="AV126" s="10">
        <f t="shared" ref="AV126" si="769">+AV556</f>
        <v>153540.55300000001</v>
      </c>
      <c r="AW126" s="10">
        <f>+SUM(AF126:AI126)</f>
        <v>197376.15868597242</v>
      </c>
      <c r="AX126" s="10"/>
    </row>
    <row r="127" spans="1:52" ht="12" outlineLevel="1" x14ac:dyDescent="0.35">
      <c r="A127" t="s">
        <v>246</v>
      </c>
      <c r="B127" t="s">
        <v>226</v>
      </c>
      <c r="H127" s="25">
        <f>+H557</f>
        <v>276.50400000000002</v>
      </c>
      <c r="I127" s="25">
        <f t="shared" ref="I127:AD127" si="770">+I557</f>
        <v>338.09399999999999</v>
      </c>
      <c r="J127" s="25">
        <f t="shared" si="770"/>
        <v>398.27300000000002</v>
      </c>
      <c r="K127" s="25">
        <f t="shared" si="770"/>
        <v>591.54399999999998</v>
      </c>
      <c r="L127" s="25">
        <f t="shared" si="770"/>
        <v>596.79</v>
      </c>
      <c r="M127" s="25">
        <f t="shared" si="770"/>
        <v>822.93499999999995</v>
      </c>
      <c r="N127" s="25">
        <f t="shared" si="770"/>
        <v>802.49300000000005</v>
      </c>
      <c r="O127" s="25">
        <f t="shared" si="770"/>
        <v>1106.027</v>
      </c>
      <c r="P127" s="25">
        <f t="shared" si="770"/>
        <v>1048.789</v>
      </c>
      <c r="Q127" s="25">
        <f t="shared" si="770"/>
        <v>1138.617</v>
      </c>
      <c r="R127" s="25">
        <f t="shared" si="770"/>
        <v>1332.124</v>
      </c>
      <c r="S127" s="25">
        <f t="shared" si="770"/>
        <v>2267.8850000000002</v>
      </c>
      <c r="T127" s="25">
        <f t="shared" si="770"/>
        <v>2931.4749999999999</v>
      </c>
      <c r="U127" s="25">
        <f t="shared" si="770"/>
        <v>3007.6379999999999</v>
      </c>
      <c r="V127" s="25">
        <f t="shared" si="770"/>
        <v>3477.1469999999999</v>
      </c>
      <c r="W127" s="25">
        <f t="shared" si="770"/>
        <v>4724.1890000000021</v>
      </c>
      <c r="X127" s="25">
        <f t="shared" si="770"/>
        <v>5591.4070000000002</v>
      </c>
      <c r="Y127" s="25">
        <f t="shared" si="770"/>
        <v>6216.2070000000003</v>
      </c>
      <c r="Z127" s="25">
        <f t="shared" si="770"/>
        <v>7022.2520000000004</v>
      </c>
      <c r="AA127" s="25">
        <f t="shared" si="770"/>
        <v>8796.627999999997</v>
      </c>
      <c r="AB127" s="25">
        <f t="shared" si="770"/>
        <v>10392.624</v>
      </c>
      <c r="AC127" s="25">
        <f t="shared" si="770"/>
        <v>14347.916999999999</v>
      </c>
      <c r="AD127" s="25">
        <f t="shared" si="770"/>
        <v>29152.692999999999</v>
      </c>
      <c r="AE127" s="25">
        <f t="shared" ref="AE127:AG127" si="771">+AE557</f>
        <v>40205.417999999998</v>
      </c>
      <c r="AF127" s="25">
        <f t="shared" si="771"/>
        <v>44355.815999999999</v>
      </c>
      <c r="AG127" s="25">
        <f t="shared" si="771"/>
        <v>47943.665000000001</v>
      </c>
      <c r="AH127" s="25">
        <f t="shared" ref="AH127" si="772">+AH557</f>
        <v>50003.379000000001</v>
      </c>
      <c r="AI127" s="15">
        <f t="shared" si="766"/>
        <v>53417.272639007722</v>
      </c>
      <c r="AJ127" s="15">
        <f t="shared" ref="AJ127:AM127" si="773">+AJ201</f>
        <v>48507.888128909763</v>
      </c>
      <c r="AK127" s="15">
        <f t="shared" si="773"/>
        <v>57578.489654283505</v>
      </c>
      <c r="AL127" s="15">
        <f t="shared" si="773"/>
        <v>61885.248186597302</v>
      </c>
      <c r="AM127" s="15">
        <f t="shared" si="773"/>
        <v>67418.576696802018</v>
      </c>
      <c r="AO127" s="25">
        <f t="shared" ref="AO127:AU127" si="774">+AO557</f>
        <v>48.276000000000003</v>
      </c>
      <c r="AP127" s="25">
        <f t="shared" si="774"/>
        <v>531.41600000000005</v>
      </c>
      <c r="AQ127" s="25">
        <f t="shared" si="774"/>
        <v>1604.415</v>
      </c>
      <c r="AR127" s="25">
        <f t="shared" si="774"/>
        <v>3328.2449999999999</v>
      </c>
      <c r="AS127" s="25">
        <f t="shared" si="774"/>
        <v>5787.415</v>
      </c>
      <c r="AT127" s="25">
        <f t="shared" si="774"/>
        <v>14140.449000000001</v>
      </c>
      <c r="AU127" s="25">
        <f t="shared" si="774"/>
        <v>27626.493999999999</v>
      </c>
      <c r="AV127" s="25">
        <f t="shared" ref="AV127" si="775">+AV557</f>
        <v>94098.652000000002</v>
      </c>
      <c r="AW127" s="25">
        <f>+SUM(AF127:AI127)</f>
        <v>195720.1326390077</v>
      </c>
      <c r="AX127" s="25"/>
    </row>
    <row r="128" spans="1:52" ht="10.15" outlineLevel="1" x14ac:dyDescent="0.2">
      <c r="B128" s="4" t="s">
        <v>223</v>
      </c>
      <c r="H128" s="10">
        <f>SUM(H126:H127)</f>
        <v>1384.6039999999998</v>
      </c>
      <c r="I128" s="10">
        <f t="shared" ref="I128:AD128" si="776">SUM(I126:I127)</f>
        <v>2709.0460000000003</v>
      </c>
      <c r="J128" s="10">
        <f t="shared" si="776"/>
        <v>3372.4180000000001</v>
      </c>
      <c r="K128" s="10">
        <f t="shared" si="776"/>
        <v>5653.9219999999996</v>
      </c>
      <c r="L128" s="10">
        <f t="shared" si="776"/>
        <v>4545.2039999999997</v>
      </c>
      <c r="M128" s="10">
        <f t="shared" si="776"/>
        <v>7290.0079999999998</v>
      </c>
      <c r="N128" s="10">
        <f t="shared" si="776"/>
        <v>7513.9480000000003</v>
      </c>
      <c r="O128" s="10">
        <f t="shared" si="776"/>
        <v>10792.726000000001</v>
      </c>
      <c r="P128" s="10">
        <f t="shared" si="776"/>
        <v>6541.0590000000002</v>
      </c>
      <c r="Q128" s="10">
        <f t="shared" si="776"/>
        <v>12193.315000000001</v>
      </c>
      <c r="R128" s="10">
        <f t="shared" si="776"/>
        <v>13816.96</v>
      </c>
      <c r="S128" s="10">
        <f t="shared" si="776"/>
        <v>21189.86</v>
      </c>
      <c r="T128" s="10">
        <f t="shared" si="776"/>
        <v>17042.960999999999</v>
      </c>
      <c r="U128" s="10">
        <f t="shared" si="776"/>
        <v>21088.057000000001</v>
      </c>
      <c r="V128" s="10">
        <f t="shared" si="776"/>
        <v>21423.643</v>
      </c>
      <c r="W128" s="10">
        <f t="shared" si="776"/>
        <v>27149.190000000006</v>
      </c>
      <c r="X128" s="10">
        <f t="shared" si="776"/>
        <v>23749.831999999999</v>
      </c>
      <c r="Y128" s="10">
        <f t="shared" si="776"/>
        <v>31388.858</v>
      </c>
      <c r="Z128" s="10">
        <f t="shared" si="776"/>
        <v>35447.896999999997</v>
      </c>
      <c r="AA128" s="10">
        <f t="shared" si="776"/>
        <v>39761.830999999991</v>
      </c>
      <c r="AB128" s="10">
        <f t="shared" si="776"/>
        <v>37637.050000000003</v>
      </c>
      <c r="AC128" s="10">
        <f t="shared" si="776"/>
        <v>52280.748</v>
      </c>
      <c r="AD128" s="10">
        <f t="shared" si="776"/>
        <v>68840.370999999999</v>
      </c>
      <c r="AE128" s="10">
        <f t="shared" ref="AE128:AG128" si="777">SUM(AE126:AE127)</f>
        <v>88881.035999999993</v>
      </c>
      <c r="AF128" s="10">
        <f t="shared" si="777"/>
        <v>86812.059000000008</v>
      </c>
      <c r="AG128" s="10">
        <f t="shared" si="777"/>
        <v>97059.531000000003</v>
      </c>
      <c r="AH128" s="10">
        <f t="shared" ref="AH128" si="778">SUM(AH126:AH127)</f>
        <v>99354.400999999998</v>
      </c>
      <c r="AI128" s="10">
        <f t="shared" ref="AI128" si="779">SUM(AI126:AI127)</f>
        <v>109870.30032498014</v>
      </c>
      <c r="AJ128" s="10">
        <f t="shared" ref="AJ128:AM128" si="780">SUM(AJ126:AJ127)</f>
        <v>95352.150978600635</v>
      </c>
      <c r="AK128" s="10">
        <f t="shared" si="780"/>
        <v>111184.7784572737</v>
      </c>
      <c r="AL128" s="10">
        <f t="shared" si="780"/>
        <v>119101.4659402923</v>
      </c>
      <c r="AM128" s="10">
        <f t="shared" si="780"/>
        <v>132868.66453765705</v>
      </c>
      <c r="AO128" s="10">
        <f t="shared" ref="AO128" si="781">SUM(AO126:AO127)</f>
        <v>48.276000000000003</v>
      </c>
      <c r="AP128" s="10">
        <f t="shared" ref="AP128" si="782">SUM(AP126:AP127)</f>
        <v>1740.6910000000003</v>
      </c>
      <c r="AQ128" s="10">
        <f t="shared" ref="AQ128" si="783">SUM(AQ126:AQ127)</f>
        <v>13119.990000000002</v>
      </c>
      <c r="AR128" s="10">
        <f t="shared" ref="AR128" si="784">SUM(AR126:AR127)</f>
        <v>30141.885999999999</v>
      </c>
      <c r="AS128" s="10">
        <f t="shared" ref="AS128" si="785">SUM(AS126:AS127)</f>
        <v>53741.194000000003</v>
      </c>
      <c r="AT128" s="10">
        <f t="shared" ref="AT128" si="786">SUM(AT126:AT127)</f>
        <v>86703.850999999995</v>
      </c>
      <c r="AU128" s="10">
        <f t="shared" ref="AU128:AV128" si="787">SUM(AU126:AU127)</f>
        <v>130348.41800000001</v>
      </c>
      <c r="AV128" s="10">
        <f t="shared" si="787"/>
        <v>247639.20500000002</v>
      </c>
      <c r="AW128" s="10">
        <f>+SUM(AF128:AI128)</f>
        <v>393096.29132498021</v>
      </c>
      <c r="AX128" s="10"/>
    </row>
    <row r="129" spans="1:50" ht="12" outlineLevel="1" x14ac:dyDescent="0.35">
      <c r="B129" t="s">
        <v>222</v>
      </c>
      <c r="H129" s="25">
        <f>+H558</f>
        <v>0</v>
      </c>
      <c r="I129" s="25">
        <f t="shared" ref="I129:AD129" si="788">+I558</f>
        <v>0</v>
      </c>
      <c r="J129" s="25">
        <f t="shared" si="788"/>
        <v>0</v>
      </c>
      <c r="K129" s="25">
        <f t="shared" si="788"/>
        <v>0</v>
      </c>
      <c r="L129" s="25">
        <f t="shared" si="788"/>
        <v>0</v>
      </c>
      <c r="M129" s="25">
        <f t="shared" si="788"/>
        <v>0</v>
      </c>
      <c r="N129" s="25">
        <f t="shared" si="788"/>
        <v>0</v>
      </c>
      <c r="O129" s="25">
        <f t="shared" si="788"/>
        <v>0</v>
      </c>
      <c r="P129" s="25">
        <f t="shared" si="788"/>
        <v>0</v>
      </c>
      <c r="Q129" s="25">
        <f t="shared" si="788"/>
        <v>0</v>
      </c>
      <c r="R129" s="25">
        <f t="shared" si="788"/>
        <v>392.822</v>
      </c>
      <c r="S129" s="25">
        <f t="shared" si="788"/>
        <v>5357.8490000000002</v>
      </c>
      <c r="T129" s="25">
        <f t="shared" si="788"/>
        <v>5124.1379999999999</v>
      </c>
      <c r="U129" s="25">
        <f t="shared" si="788"/>
        <v>1958.163</v>
      </c>
      <c r="V129" s="25">
        <f t="shared" si="788"/>
        <v>82.114999999999995</v>
      </c>
      <c r="W129" s="25">
        <f t="shared" si="788"/>
        <v>81.67200000000048</v>
      </c>
      <c r="X129" s="25">
        <f t="shared" si="788"/>
        <v>43.856999999999999</v>
      </c>
      <c r="Y129" s="25">
        <f t="shared" si="788"/>
        <v>50.71</v>
      </c>
      <c r="Z129" s="25">
        <f t="shared" si="788"/>
        <v>56.406999999999996</v>
      </c>
      <c r="AA129" s="25">
        <f t="shared" si="788"/>
        <v>58.197000000000003</v>
      </c>
      <c r="AB129" s="25">
        <f t="shared" si="788"/>
        <v>0</v>
      </c>
      <c r="AC129" s="25">
        <f t="shared" si="788"/>
        <v>0</v>
      </c>
      <c r="AD129" s="25">
        <f t="shared" si="788"/>
        <v>0</v>
      </c>
      <c r="AE129" s="25">
        <f t="shared" ref="AE129:AG129" si="789">+AE558</f>
        <v>0</v>
      </c>
      <c r="AF129" s="25">
        <f t="shared" si="789"/>
        <v>0</v>
      </c>
      <c r="AG129" s="25">
        <f t="shared" si="789"/>
        <v>0</v>
      </c>
      <c r="AH129" s="25">
        <f t="shared" ref="AH129" si="790">+AH558</f>
        <v>0</v>
      </c>
      <c r="AI129" s="15">
        <f t="shared" si="766"/>
        <v>0</v>
      </c>
      <c r="AJ129" s="15">
        <f t="shared" ref="AJ129:AM129" si="791">+AJ203</f>
        <v>0</v>
      </c>
      <c r="AK129" s="15">
        <f t="shared" si="791"/>
        <v>0</v>
      </c>
      <c r="AL129" s="15">
        <f t="shared" si="791"/>
        <v>0</v>
      </c>
      <c r="AM129" s="15">
        <f t="shared" si="791"/>
        <v>0</v>
      </c>
      <c r="AO129" s="25">
        <f t="shared" ref="AO129:AU129" si="792">+AO558</f>
        <v>456.58800000000002</v>
      </c>
      <c r="AP129" s="25">
        <f t="shared" si="792"/>
        <v>3.3849999999999998</v>
      </c>
      <c r="AQ129" s="25">
        <f t="shared" si="792"/>
        <v>0</v>
      </c>
      <c r="AR129" s="25">
        <f t="shared" si="792"/>
        <v>0</v>
      </c>
      <c r="AS129" s="25">
        <f t="shared" si="792"/>
        <v>5750.6710000000003</v>
      </c>
      <c r="AT129" s="25">
        <f t="shared" si="792"/>
        <v>7246.0879999999997</v>
      </c>
      <c r="AU129" s="25">
        <f t="shared" si="792"/>
        <v>209.17099999999999</v>
      </c>
      <c r="AV129" s="25">
        <f t="shared" ref="AV129" si="793">+AV558</f>
        <v>0</v>
      </c>
      <c r="AW129" s="25">
        <f>+SUM(AF129:AI129)</f>
        <v>0</v>
      </c>
      <c r="AX129" s="25"/>
    </row>
    <row r="130" spans="1:50" s="1" customFormat="1" ht="10.15" outlineLevel="1" x14ac:dyDescent="0.2">
      <c r="A130" s="1" t="s">
        <v>72</v>
      </c>
      <c r="B130" s="38" t="s">
        <v>224</v>
      </c>
      <c r="H130" s="42">
        <f>+SUM(H128:H129)</f>
        <v>1384.6039999999998</v>
      </c>
      <c r="I130" s="42">
        <f t="shared" ref="I130:AD130" si="794">+SUM(I128:I129)</f>
        <v>2709.0460000000003</v>
      </c>
      <c r="J130" s="42">
        <f t="shared" si="794"/>
        <v>3372.4180000000001</v>
      </c>
      <c r="K130" s="42">
        <f t="shared" si="794"/>
        <v>5653.9219999999996</v>
      </c>
      <c r="L130" s="42">
        <f t="shared" si="794"/>
        <v>4545.2039999999997</v>
      </c>
      <c r="M130" s="42">
        <f t="shared" si="794"/>
        <v>7290.0079999999998</v>
      </c>
      <c r="N130" s="42">
        <f t="shared" si="794"/>
        <v>7513.9480000000003</v>
      </c>
      <c r="O130" s="42">
        <f t="shared" si="794"/>
        <v>10792.726000000001</v>
      </c>
      <c r="P130" s="42">
        <f t="shared" si="794"/>
        <v>6541.0590000000002</v>
      </c>
      <c r="Q130" s="42">
        <f t="shared" si="794"/>
        <v>12193.315000000001</v>
      </c>
      <c r="R130" s="42">
        <f t="shared" si="794"/>
        <v>14209.781999999999</v>
      </c>
      <c r="S130" s="42">
        <f t="shared" si="794"/>
        <v>26547.709000000003</v>
      </c>
      <c r="T130" s="42">
        <f t="shared" si="794"/>
        <v>22167.098999999998</v>
      </c>
      <c r="U130" s="42">
        <f t="shared" si="794"/>
        <v>23046.22</v>
      </c>
      <c r="V130" s="42">
        <f t="shared" si="794"/>
        <v>21505.758000000002</v>
      </c>
      <c r="W130" s="42">
        <f t="shared" si="794"/>
        <v>27230.862000000008</v>
      </c>
      <c r="X130" s="42">
        <f t="shared" si="794"/>
        <v>23793.688999999998</v>
      </c>
      <c r="Y130" s="42">
        <f t="shared" si="794"/>
        <v>31439.567999999999</v>
      </c>
      <c r="Z130" s="42">
        <f t="shared" si="794"/>
        <v>35504.303999999996</v>
      </c>
      <c r="AA130" s="42">
        <f t="shared" si="794"/>
        <v>39820.027999999991</v>
      </c>
      <c r="AB130" s="42">
        <f t="shared" si="794"/>
        <v>37637.050000000003</v>
      </c>
      <c r="AC130" s="42">
        <f t="shared" si="794"/>
        <v>52280.748</v>
      </c>
      <c r="AD130" s="42">
        <f t="shared" si="794"/>
        <v>68840.370999999999</v>
      </c>
      <c r="AE130" s="42">
        <f t="shared" ref="AE130:AG130" si="795">+SUM(AE128:AE129)</f>
        <v>88881.035999999993</v>
      </c>
      <c r="AF130" s="42">
        <f t="shared" si="795"/>
        <v>86812.059000000008</v>
      </c>
      <c r="AG130" s="42">
        <f t="shared" si="795"/>
        <v>97059.531000000003</v>
      </c>
      <c r="AH130" s="42">
        <f t="shared" ref="AH130" si="796">+SUM(AH128:AH129)</f>
        <v>99354.400999999998</v>
      </c>
      <c r="AI130" s="42">
        <f t="shared" ref="AI130" si="797">+SUM(AI128:AI129)</f>
        <v>109870.30032498014</v>
      </c>
      <c r="AJ130" s="42">
        <f t="shared" ref="AJ130:AM130" si="798">+SUM(AJ128:AJ129)</f>
        <v>95352.150978600635</v>
      </c>
      <c r="AK130" s="42">
        <f t="shared" si="798"/>
        <v>111184.7784572737</v>
      </c>
      <c r="AL130" s="42">
        <f t="shared" si="798"/>
        <v>119101.4659402923</v>
      </c>
      <c r="AM130" s="42">
        <f t="shared" si="798"/>
        <v>132868.66453765705</v>
      </c>
      <c r="AO130" s="42">
        <f t="shared" ref="AO130" si="799">+SUM(AO128:AO129)</f>
        <v>504.86400000000003</v>
      </c>
      <c r="AP130" s="42">
        <f t="shared" ref="AP130" si="800">+SUM(AP128:AP129)</f>
        <v>1744.0760000000002</v>
      </c>
      <c r="AQ130" s="42">
        <f t="shared" ref="AQ130" si="801">+SUM(AQ128:AQ129)</f>
        <v>13119.990000000002</v>
      </c>
      <c r="AR130" s="42">
        <f t="shared" ref="AR130" si="802">+SUM(AR128:AR129)</f>
        <v>30141.885999999999</v>
      </c>
      <c r="AS130" s="42">
        <f t="shared" ref="AS130" si="803">+SUM(AS128:AS129)</f>
        <v>59491.865000000005</v>
      </c>
      <c r="AT130" s="42">
        <f t="shared" ref="AT130" si="804">+SUM(AT128:AT129)</f>
        <v>93949.938999999998</v>
      </c>
      <c r="AU130" s="42">
        <f t="shared" ref="AU130:AV130" si="805">+SUM(AU128:AU129)</f>
        <v>130557.58900000001</v>
      </c>
      <c r="AV130" s="42">
        <f t="shared" si="805"/>
        <v>247639.20500000002</v>
      </c>
      <c r="AW130" s="42">
        <f>+SUM(AF130:AI130)</f>
        <v>393096.29132498021</v>
      </c>
      <c r="AX130" s="42"/>
    </row>
    <row r="131" spans="1:50" ht="10.15" outlineLevel="1" x14ac:dyDescent="0.2"/>
    <row r="132" spans="1:50" ht="10.15" outlineLevel="1" x14ac:dyDescent="0.2">
      <c r="B132" s="19" t="s">
        <v>85</v>
      </c>
    </row>
    <row r="133" spans="1:50" ht="10.15" outlineLevel="1" x14ac:dyDescent="0.2">
      <c r="B133" s="20" t="s">
        <v>225</v>
      </c>
      <c r="L133" s="46">
        <f>IFERROR(L126/H126-1,"n/a")</f>
        <v>2.5632289504557355</v>
      </c>
      <c r="M133" s="46">
        <f t="shared" ref="M133:AH137" si="806">IFERROR(M126/I126-1,"n/a")</f>
        <v>1.7276271303678858</v>
      </c>
      <c r="N133" s="46">
        <f t="shared" si="806"/>
        <v>1.2565997959077313</v>
      </c>
      <c r="O133" s="46">
        <f t="shared" si="806"/>
        <v>0.91346813691115147</v>
      </c>
      <c r="P133" s="46">
        <f t="shared" si="806"/>
        <v>0.39100661683399962</v>
      </c>
      <c r="Q133" s="46">
        <f t="shared" si="806"/>
        <v>0.7093819723389545</v>
      </c>
      <c r="R133" s="46">
        <f t="shared" si="806"/>
        <v>0.86022792375125801</v>
      </c>
      <c r="S133" s="46">
        <f t="shared" si="806"/>
        <v>0.95339764351096257</v>
      </c>
      <c r="T133" s="46">
        <f t="shared" si="806"/>
        <v>1.5693358119684575</v>
      </c>
      <c r="U133" s="46">
        <f t="shared" si="806"/>
        <v>0.63554164935125335</v>
      </c>
      <c r="V133" s="46">
        <f t="shared" si="806"/>
        <v>0.43746349571592291</v>
      </c>
      <c r="W133" s="46">
        <f t="shared" si="806"/>
        <v>0.18513004060094174</v>
      </c>
      <c r="X133" s="46">
        <f t="shared" si="806"/>
        <v>0.28678333380339938</v>
      </c>
      <c r="Y133" s="46">
        <f t="shared" si="806"/>
        <v>0.39226037847906059</v>
      </c>
      <c r="Z133" s="46">
        <f t="shared" si="806"/>
        <v>0.58391058622251402</v>
      </c>
      <c r="AA133" s="46">
        <f t="shared" si="806"/>
        <v>0.3808339629505475</v>
      </c>
      <c r="AB133" s="46">
        <f t="shared" si="806"/>
        <v>0.50037384850282995</v>
      </c>
      <c r="AC133" s="46">
        <f t="shared" si="806"/>
        <v>0.50690648354835566</v>
      </c>
      <c r="AD133" s="46">
        <f t="shared" si="806"/>
        <v>0.39619269852979588</v>
      </c>
      <c r="AE133" s="46">
        <f t="shared" si="806"/>
        <v>0.57194570951141555</v>
      </c>
      <c r="AF133" s="46">
        <f t="shared" si="806"/>
        <v>0.55834602644959386</v>
      </c>
      <c r="AG133" s="46">
        <f t="shared" si="806"/>
        <v>0.29481150510490517</v>
      </c>
      <c r="AH133" s="46">
        <f t="shared" si="806"/>
        <v>0.24348474103221651</v>
      </c>
      <c r="AI133" s="46">
        <f t="shared" ref="AI133:AI137" si="807">IFERROR(AI126/AE126-1,"n/a")</f>
        <v>0.15978039941829647</v>
      </c>
      <c r="AJ133" s="46">
        <f t="shared" ref="AJ133:AJ137" si="808">IFERROR(AJ126/AF126-1,"n/a")</f>
        <v>0.10335393665640336</v>
      </c>
      <c r="AK133" s="46">
        <f t="shared" ref="AK133:AK137" si="809">IFERROR(AK126/AG126-1,"n/a")</f>
        <v>9.1425096790316074E-2</v>
      </c>
      <c r="AL133" s="46">
        <f t="shared" ref="AL133:AL137" si="810">IFERROR(AL126/AH126-1,"n/a")</f>
        <v>0.15937249999999992</v>
      </c>
      <c r="AM133" s="46">
        <f t="shared" ref="AM133:AM137" si="811">IFERROR(AM126/AI126-1,"n/a")</f>
        <v>0.15937249999999969</v>
      </c>
      <c r="AP133" s="46" t="str">
        <f>IFERROR(AP126/AO126-1,"n/a")</f>
        <v>n/a</v>
      </c>
      <c r="AQ133" s="46">
        <f t="shared" ref="AQ133:AV133" si="812">IFERROR(AQ126/AP126-1,"n/a")</f>
        <v>8.5227098881561272</v>
      </c>
      <c r="AR133" s="46">
        <f t="shared" si="812"/>
        <v>1.3284674017580538</v>
      </c>
      <c r="AS133" s="46">
        <f t="shared" si="812"/>
        <v>0.7884098246858755</v>
      </c>
      <c r="AT133" s="46">
        <f t="shared" si="812"/>
        <v>0.51319465354336313</v>
      </c>
      <c r="AU133" s="46">
        <f t="shared" si="812"/>
        <v>0.41561615316768075</v>
      </c>
      <c r="AV133" s="46">
        <f t="shared" si="812"/>
        <v>0.49472037731692042</v>
      </c>
      <c r="AW133" s="46">
        <f t="shared" ref="AW133" si="813">IFERROR(AW126/AV126-1,"n/a")</f>
        <v>0.28549855285445269</v>
      </c>
      <c r="AX133" s="46"/>
    </row>
    <row r="134" spans="1:50" ht="12" outlineLevel="1" x14ac:dyDescent="0.35">
      <c r="B134" s="20" t="s">
        <v>226</v>
      </c>
      <c r="L134" s="47">
        <f t="shared" ref="L134:L137" si="814">IFERROR(L127/H127-1,"n/a")</f>
        <v>1.1583412898185919</v>
      </c>
      <c r="M134" s="47">
        <f t="shared" si="806"/>
        <v>1.4340420119848325</v>
      </c>
      <c r="N134" s="47">
        <f t="shared" si="806"/>
        <v>1.014931968775187</v>
      </c>
      <c r="O134" s="47">
        <f t="shared" si="806"/>
        <v>0.86972904805052553</v>
      </c>
      <c r="P134" s="47">
        <f t="shared" si="806"/>
        <v>0.75738366929740786</v>
      </c>
      <c r="Q134" s="47">
        <f t="shared" si="806"/>
        <v>0.38360502348302128</v>
      </c>
      <c r="R134" s="47">
        <f t="shared" si="806"/>
        <v>0.65998208084058052</v>
      </c>
      <c r="S134" s="47">
        <f t="shared" si="806"/>
        <v>1.0504788761938002</v>
      </c>
      <c r="T134" s="47">
        <f t="shared" si="806"/>
        <v>1.7951046397321102</v>
      </c>
      <c r="U134" s="47">
        <f t="shared" si="806"/>
        <v>1.6414834839107444</v>
      </c>
      <c r="V134" s="47">
        <f t="shared" si="806"/>
        <v>1.6102277265479787</v>
      </c>
      <c r="W134" s="47">
        <f t="shared" si="806"/>
        <v>1.0830813731736848</v>
      </c>
      <c r="X134" s="47">
        <f t="shared" si="806"/>
        <v>0.90736983941531157</v>
      </c>
      <c r="Y134" s="47">
        <f t="shared" si="806"/>
        <v>1.0668069096081378</v>
      </c>
      <c r="Z134" s="47">
        <f t="shared" si="806"/>
        <v>1.0195441837805537</v>
      </c>
      <c r="AA134" s="47">
        <f t="shared" si="806"/>
        <v>0.86203981254771844</v>
      </c>
      <c r="AB134" s="47">
        <f t="shared" si="806"/>
        <v>0.85867778897154134</v>
      </c>
      <c r="AC134" s="47">
        <f t="shared" si="806"/>
        <v>1.3081465916434247</v>
      </c>
      <c r="AD134" s="47">
        <f t="shared" si="806"/>
        <v>3.1514734874225532</v>
      </c>
      <c r="AE134" s="47">
        <f t="shared" si="806"/>
        <v>3.5705488512189003</v>
      </c>
      <c r="AF134" s="47">
        <f t="shared" si="806"/>
        <v>3.2680093112191875</v>
      </c>
      <c r="AG134" s="47">
        <f t="shared" si="806"/>
        <v>2.3415069936632618</v>
      </c>
      <c r="AH134" s="47">
        <f t="shared" si="806"/>
        <v>0.71522332430832392</v>
      </c>
      <c r="AI134" s="47">
        <f t="shared" si="807"/>
        <v>0.32860881185236579</v>
      </c>
      <c r="AJ134" s="47">
        <f t="shared" si="808"/>
        <v>9.3608290937760241E-2</v>
      </c>
      <c r="AK134" s="47">
        <f t="shared" si="809"/>
        <v>0.20096137110676682</v>
      </c>
      <c r="AL134" s="47">
        <f t="shared" si="810"/>
        <v>0.23762132528278346</v>
      </c>
      <c r="AM134" s="47">
        <f t="shared" si="811"/>
        <v>0.26211192309301667</v>
      </c>
      <c r="AP134" s="47">
        <f t="shared" ref="AP134:AP137" si="815">IFERROR(AP127/AO127-1,"n/a")</f>
        <v>10.007871406081698</v>
      </c>
      <c r="AQ134" s="47">
        <f t="shared" ref="AQ134:AV134" si="816">IFERROR(AQ127/AP127-1,"n/a")</f>
        <v>2.0191319041955826</v>
      </c>
      <c r="AR134" s="47">
        <f t="shared" si="816"/>
        <v>1.0744289974850645</v>
      </c>
      <c r="AS134" s="47">
        <f t="shared" si="816"/>
        <v>0.73887889863877221</v>
      </c>
      <c r="AT134" s="47">
        <f t="shared" si="816"/>
        <v>1.4433100097366443</v>
      </c>
      <c r="AU134" s="47">
        <f t="shared" si="816"/>
        <v>0.95372113007161219</v>
      </c>
      <c r="AV134" s="47">
        <f t="shared" si="816"/>
        <v>2.4061018383295401</v>
      </c>
      <c r="AW134" s="47">
        <f t="shared" ref="AW134" si="817">IFERROR(AW127/AV127-1,"n/a")</f>
        <v>1.0799461892292324</v>
      </c>
      <c r="AX134" s="47"/>
    </row>
    <row r="135" spans="1:50" ht="10.15" outlineLevel="1" x14ac:dyDescent="0.2">
      <c r="B135" s="30" t="s">
        <v>223</v>
      </c>
      <c r="L135" s="46">
        <f t="shared" si="814"/>
        <v>2.2826743242111105</v>
      </c>
      <c r="M135" s="46">
        <f t="shared" si="806"/>
        <v>1.6909871593173387</v>
      </c>
      <c r="N135" s="46">
        <f t="shared" si="806"/>
        <v>1.228059511009608</v>
      </c>
      <c r="O135" s="46">
        <f t="shared" si="806"/>
        <v>0.90889191608939801</v>
      </c>
      <c r="P135" s="46">
        <f t="shared" si="806"/>
        <v>0.4391123038701894</v>
      </c>
      <c r="Q135" s="46">
        <f t="shared" si="806"/>
        <v>0.67260653211903199</v>
      </c>
      <c r="R135" s="46">
        <f t="shared" si="806"/>
        <v>0.83884157835534645</v>
      </c>
      <c r="S135" s="46">
        <f t="shared" si="806"/>
        <v>0.9633464242490728</v>
      </c>
      <c r="T135" s="46">
        <f t="shared" si="806"/>
        <v>1.6055354339412009</v>
      </c>
      <c r="U135" s="46">
        <f t="shared" si="806"/>
        <v>0.72947693059680652</v>
      </c>
      <c r="V135" s="46">
        <f t="shared" si="806"/>
        <v>0.55053231680485437</v>
      </c>
      <c r="W135" s="46">
        <f t="shared" si="806"/>
        <v>0.28123498692299087</v>
      </c>
      <c r="X135" s="46">
        <f t="shared" si="806"/>
        <v>0.39352733365991965</v>
      </c>
      <c r="Y135" s="46">
        <f t="shared" si="806"/>
        <v>0.48846610192679196</v>
      </c>
      <c r="Z135" s="46">
        <f t="shared" si="806"/>
        <v>0.65461574392366395</v>
      </c>
      <c r="AA135" s="46">
        <f t="shared" si="806"/>
        <v>0.46456785635225151</v>
      </c>
      <c r="AB135" s="46">
        <f t="shared" si="806"/>
        <v>0.58472910461008754</v>
      </c>
      <c r="AC135" s="46">
        <f t="shared" si="806"/>
        <v>0.66558299126397014</v>
      </c>
      <c r="AD135" s="46">
        <f t="shared" si="806"/>
        <v>0.94201565751559269</v>
      </c>
      <c r="AE135" s="46">
        <f t="shared" si="806"/>
        <v>1.2353355910596777</v>
      </c>
      <c r="AF135" s="46">
        <f t="shared" si="806"/>
        <v>1.3065585373986539</v>
      </c>
      <c r="AG135" s="46">
        <f t="shared" si="806"/>
        <v>0.85650616552004966</v>
      </c>
      <c r="AH135" s="46">
        <f t="shared" si="806"/>
        <v>0.44325777965374424</v>
      </c>
      <c r="AI135" s="46">
        <f t="shared" si="807"/>
        <v>0.23615008633540402</v>
      </c>
      <c r="AJ135" s="46">
        <f t="shared" si="808"/>
        <v>9.8374489408212584E-2</v>
      </c>
      <c r="AK135" s="46">
        <f t="shared" si="809"/>
        <v>0.14553179179563203</v>
      </c>
      <c r="AL135" s="46">
        <f t="shared" si="810"/>
        <v>0.19875380196084413</v>
      </c>
      <c r="AM135" s="46">
        <f t="shared" si="811"/>
        <v>0.20932284834619685</v>
      </c>
      <c r="AP135" s="46">
        <f t="shared" si="815"/>
        <v>35.057067694092304</v>
      </c>
      <c r="AQ135" s="46">
        <f t="shared" ref="AQ135:AV135" si="818">IFERROR(AQ128/AP128-1,"n/a")</f>
        <v>6.5372309042788181</v>
      </c>
      <c r="AR135" s="46">
        <f t="shared" si="818"/>
        <v>1.2974015986292669</v>
      </c>
      <c r="AS135" s="46">
        <f t="shared" si="818"/>
        <v>0.78294065606909946</v>
      </c>
      <c r="AT135" s="46">
        <f t="shared" si="818"/>
        <v>0.6133592230942988</v>
      </c>
      <c r="AU135" s="46">
        <f t="shared" si="818"/>
        <v>0.50337518456936836</v>
      </c>
      <c r="AV135" s="46">
        <f t="shared" si="818"/>
        <v>0.89982516703808413</v>
      </c>
      <c r="AW135" s="46">
        <f t="shared" ref="AW135" si="819">IFERROR(AW128/AV128-1,"n/a")</f>
        <v>0.58737503346846953</v>
      </c>
      <c r="AX135" s="46"/>
    </row>
    <row r="136" spans="1:50" ht="12" outlineLevel="1" x14ac:dyDescent="0.35">
      <c r="B136" s="20" t="s">
        <v>222</v>
      </c>
      <c r="L136" s="47" t="str">
        <f t="shared" si="814"/>
        <v>n/a</v>
      </c>
      <c r="M136" s="47" t="str">
        <f t="shared" si="806"/>
        <v>n/a</v>
      </c>
      <c r="N136" s="47" t="str">
        <f t="shared" si="806"/>
        <v>n/a</v>
      </c>
      <c r="O136" s="47" t="str">
        <f t="shared" si="806"/>
        <v>n/a</v>
      </c>
      <c r="P136" s="47" t="str">
        <f t="shared" si="806"/>
        <v>n/a</v>
      </c>
      <c r="Q136" s="47" t="str">
        <f t="shared" si="806"/>
        <v>n/a</v>
      </c>
      <c r="R136" s="47" t="str">
        <f t="shared" si="806"/>
        <v>n/a</v>
      </c>
      <c r="S136" s="47" t="str">
        <f t="shared" si="806"/>
        <v>n/a</v>
      </c>
      <c r="T136" s="47" t="str">
        <f t="shared" si="806"/>
        <v>n/a</v>
      </c>
      <c r="U136" s="47" t="str">
        <f t="shared" si="806"/>
        <v>n/a</v>
      </c>
      <c r="V136" s="47">
        <f t="shared" si="806"/>
        <v>-0.79096130053815727</v>
      </c>
      <c r="W136" s="47">
        <f t="shared" si="806"/>
        <v>-0.98475656928741362</v>
      </c>
      <c r="X136" s="47">
        <f t="shared" si="806"/>
        <v>-0.99144109701963534</v>
      </c>
      <c r="Y136" s="47">
        <f t="shared" si="806"/>
        <v>-0.9741032794511999</v>
      </c>
      <c r="Z136" s="47">
        <f t="shared" si="806"/>
        <v>-0.31307312914814589</v>
      </c>
      <c r="AA136" s="47">
        <f t="shared" si="806"/>
        <v>-0.28743020863943991</v>
      </c>
      <c r="AB136" s="47">
        <f t="shared" si="806"/>
        <v>-1</v>
      </c>
      <c r="AC136" s="47">
        <f t="shared" si="806"/>
        <v>-1</v>
      </c>
      <c r="AD136" s="47">
        <f t="shared" si="806"/>
        <v>-1</v>
      </c>
      <c r="AE136" s="47">
        <f t="shared" si="806"/>
        <v>-1</v>
      </c>
      <c r="AF136" s="47" t="str">
        <f t="shared" si="806"/>
        <v>n/a</v>
      </c>
      <c r="AG136" s="47" t="str">
        <f t="shared" si="806"/>
        <v>n/a</v>
      </c>
      <c r="AH136" s="47" t="str">
        <f t="shared" si="806"/>
        <v>n/a</v>
      </c>
      <c r="AI136" s="47" t="str">
        <f t="shared" si="807"/>
        <v>n/a</v>
      </c>
      <c r="AJ136" s="47" t="str">
        <f t="shared" si="808"/>
        <v>n/a</v>
      </c>
      <c r="AK136" s="47" t="str">
        <f t="shared" si="809"/>
        <v>n/a</v>
      </c>
      <c r="AL136" s="47" t="str">
        <f t="shared" si="810"/>
        <v>n/a</v>
      </c>
      <c r="AM136" s="47" t="str">
        <f t="shared" si="811"/>
        <v>n/a</v>
      </c>
      <c r="AP136" s="47">
        <f t="shared" si="815"/>
        <v>-0.99258631413878595</v>
      </c>
      <c r="AQ136" s="47">
        <f t="shared" ref="AQ136:AV136" si="820">IFERROR(AQ129/AP129-1,"n/a")</f>
        <v>-1</v>
      </c>
      <c r="AR136" s="47" t="str">
        <f t="shared" si="820"/>
        <v>n/a</v>
      </c>
      <c r="AS136" s="47" t="str">
        <f t="shared" si="820"/>
        <v>n/a</v>
      </c>
      <c r="AT136" s="47">
        <f t="shared" si="820"/>
        <v>0.26004217594781531</v>
      </c>
      <c r="AU136" s="47">
        <f t="shared" si="820"/>
        <v>-0.97113325148687124</v>
      </c>
      <c r="AV136" s="47">
        <f t="shared" si="820"/>
        <v>-1</v>
      </c>
      <c r="AW136" s="47" t="str">
        <f t="shared" ref="AW136" si="821">IFERROR(AW129/AV129-1,"n/a")</f>
        <v>n/a</v>
      </c>
      <c r="AX136" s="47"/>
    </row>
    <row r="137" spans="1:50" outlineLevel="1" x14ac:dyDescent="0.2">
      <c r="B137" s="30" t="s">
        <v>224</v>
      </c>
      <c r="L137" s="46">
        <f t="shared" si="814"/>
        <v>2.2826743242111105</v>
      </c>
      <c r="M137" s="46">
        <f t="shared" si="806"/>
        <v>1.6909871593173387</v>
      </c>
      <c r="N137" s="46">
        <f t="shared" si="806"/>
        <v>1.228059511009608</v>
      </c>
      <c r="O137" s="46">
        <f t="shared" si="806"/>
        <v>0.90889191608939801</v>
      </c>
      <c r="P137" s="46">
        <f t="shared" si="806"/>
        <v>0.4391123038701894</v>
      </c>
      <c r="Q137" s="46">
        <f t="shared" si="806"/>
        <v>0.67260653211903199</v>
      </c>
      <c r="R137" s="46">
        <f t="shared" si="806"/>
        <v>0.89112061994573266</v>
      </c>
      <c r="S137" s="46">
        <f t="shared" si="806"/>
        <v>1.4597779096773142</v>
      </c>
      <c r="T137" s="46">
        <f t="shared" si="806"/>
        <v>2.3889159232472905</v>
      </c>
      <c r="U137" s="46">
        <f t="shared" si="806"/>
        <v>0.89007009168548512</v>
      </c>
      <c r="V137" s="46">
        <f t="shared" si="806"/>
        <v>0.51344742656854292</v>
      </c>
      <c r="W137" s="46">
        <f t="shared" si="806"/>
        <v>2.573303029651286E-2</v>
      </c>
      <c r="X137" s="46">
        <f t="shared" si="806"/>
        <v>7.3378568842048297E-2</v>
      </c>
      <c r="Y137" s="46">
        <f t="shared" si="806"/>
        <v>0.36419629770088102</v>
      </c>
      <c r="Z137" s="46">
        <f t="shared" si="806"/>
        <v>0.6509208371079036</v>
      </c>
      <c r="AA137" s="46">
        <f t="shared" si="806"/>
        <v>0.46231243065313099</v>
      </c>
      <c r="AB137" s="46">
        <f t="shared" si="806"/>
        <v>0.58180810045890752</v>
      </c>
      <c r="AC137" s="46">
        <f t="shared" si="806"/>
        <v>0.66289651308185915</v>
      </c>
      <c r="AD137" s="46">
        <f t="shared" si="806"/>
        <v>0.93893030546381095</v>
      </c>
      <c r="AE137" s="46">
        <f t="shared" si="806"/>
        <v>1.2320686464610224</v>
      </c>
      <c r="AF137" s="46">
        <f t="shared" si="806"/>
        <v>1.3065585373986539</v>
      </c>
      <c r="AG137" s="46">
        <f t="shared" si="806"/>
        <v>0.85650616552004966</v>
      </c>
      <c r="AH137" s="46">
        <f t="shared" si="806"/>
        <v>0.44325777965374424</v>
      </c>
      <c r="AI137" s="46">
        <f t="shared" si="807"/>
        <v>0.23615008633540402</v>
      </c>
      <c r="AJ137" s="46">
        <f t="shared" si="808"/>
        <v>9.8374489408212584E-2</v>
      </c>
      <c r="AK137" s="46">
        <f t="shared" si="809"/>
        <v>0.14553179179563203</v>
      </c>
      <c r="AL137" s="46">
        <f t="shared" si="810"/>
        <v>0.19875380196084413</v>
      </c>
      <c r="AM137" s="46">
        <f t="shared" si="811"/>
        <v>0.20932284834619685</v>
      </c>
      <c r="AP137" s="46">
        <f t="shared" si="815"/>
        <v>2.4545461748114348</v>
      </c>
      <c r="AQ137" s="46">
        <f t="shared" ref="AQ137:AV137" si="822">IFERROR(AQ130/AP130-1,"n/a")</f>
        <v>6.5226022260497825</v>
      </c>
      <c r="AR137" s="46">
        <f t="shared" si="822"/>
        <v>1.2974015986292669</v>
      </c>
      <c r="AS137" s="46">
        <f t="shared" si="822"/>
        <v>0.97372735733921911</v>
      </c>
      <c r="AT137" s="46">
        <f t="shared" si="822"/>
        <v>0.57920648478577674</v>
      </c>
      <c r="AU137" s="46">
        <f t="shared" si="822"/>
        <v>0.38965059892162368</v>
      </c>
      <c r="AV137" s="46">
        <f t="shared" si="822"/>
        <v>0.89678138893940518</v>
      </c>
      <c r="AW137" s="46">
        <f t="shared" ref="AW137" si="823">IFERROR(AW130/AV130-1,"n/a")</f>
        <v>0.58737503346846953</v>
      </c>
      <c r="AX137" s="46"/>
    </row>
    <row r="138" spans="1:50" outlineLevel="1" x14ac:dyDescent="0.2">
      <c r="B138" s="30"/>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P138" s="46"/>
      <c r="AQ138" s="46"/>
      <c r="AR138" s="46"/>
      <c r="AS138" s="46"/>
      <c r="AT138" s="46"/>
      <c r="AU138" s="46"/>
      <c r="AV138" s="46"/>
      <c r="AW138" s="46"/>
      <c r="AX138" s="46"/>
    </row>
    <row r="139" spans="1:50" outlineLevel="1" x14ac:dyDescent="0.2">
      <c r="B139" s="19" t="s">
        <v>261</v>
      </c>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P139" s="46"/>
      <c r="AQ139" s="46"/>
      <c r="AR139" s="46"/>
      <c r="AS139" s="46"/>
      <c r="AT139" s="46"/>
      <c r="AU139" s="46"/>
      <c r="AV139" s="46"/>
      <c r="AW139" s="46"/>
      <c r="AX139" s="46"/>
    </row>
    <row r="140" spans="1:50" outlineLevel="1" x14ac:dyDescent="0.2">
      <c r="B140" s="20" t="s">
        <v>225</v>
      </c>
      <c r="I140" s="46">
        <f>+IFERROR(I126/H126-1,"n/a")</f>
        <v>1.1396552657702377</v>
      </c>
      <c r="J140" s="46">
        <f t="shared" ref="J140:AH144" si="824">+IFERROR(J126/I126-1,"n/a")</f>
        <v>0.25440962111421905</v>
      </c>
      <c r="K140" s="46">
        <f t="shared" si="824"/>
        <v>0.70212884711404455</v>
      </c>
      <c r="L140" s="46">
        <f t="shared" si="824"/>
        <v>-0.22004757447981949</v>
      </c>
      <c r="M140" s="46">
        <f t="shared" si="824"/>
        <v>0.6378913153483905</v>
      </c>
      <c r="N140" s="46">
        <f t="shared" si="824"/>
        <v>3.7788656475657545E-2</v>
      </c>
      <c r="O140" s="46">
        <f t="shared" si="824"/>
        <v>0.44330834371980443</v>
      </c>
      <c r="P140" s="46">
        <f t="shared" si="824"/>
        <v>-0.4330091189991554</v>
      </c>
      <c r="Q140" s="46">
        <f t="shared" si="824"/>
        <v>1.012773953210603</v>
      </c>
      <c r="R140" s="46">
        <f t="shared" si="824"/>
        <v>0.12936925097365837</v>
      </c>
      <c r="S140" s="46">
        <f t="shared" si="824"/>
        <v>0.51559660054805678</v>
      </c>
      <c r="T140" s="46">
        <f t="shared" si="824"/>
        <v>-0.25422763744270871</v>
      </c>
      <c r="U140" s="46">
        <f t="shared" si="824"/>
        <v>0.28125549640909542</v>
      </c>
      <c r="V140" s="46">
        <f t="shared" si="824"/>
        <v>-7.4070739179220579E-3</v>
      </c>
      <c r="W140" s="46">
        <f t="shared" si="824"/>
        <v>0.24954759970971518</v>
      </c>
      <c r="X140" s="46">
        <f t="shared" si="824"/>
        <v>-0.1902597908468322</v>
      </c>
      <c r="Y140" s="46">
        <f t="shared" si="824"/>
        <v>0.38627942676746474</v>
      </c>
      <c r="Z140" s="46">
        <f t="shared" si="824"/>
        <v>0.12922731102099649</v>
      </c>
      <c r="AA140" s="46">
        <f t="shared" si="824"/>
        <v>8.93403826016963E-2</v>
      </c>
      <c r="AB140" s="46">
        <f t="shared" si="824"/>
        <v>-0.12015994211308723</v>
      </c>
      <c r="AC140" s="46">
        <f t="shared" si="824"/>
        <v>0.39231529414493815</v>
      </c>
      <c r="AD140" s="46">
        <f t="shared" si="824"/>
        <v>4.6261957089361427E-2</v>
      </c>
      <c r="AE140" s="46">
        <f t="shared" si="824"/>
        <v>0.22646676381520736</v>
      </c>
      <c r="AF140" s="46">
        <f t="shared" si="824"/>
        <v>-0.12777187543874635</v>
      </c>
      <c r="AG140" s="46">
        <f t="shared" si="824"/>
        <v>0.15685850959539693</v>
      </c>
      <c r="AH140" s="46">
        <f t="shared" si="824"/>
        <v>4.7877807957208418E-3</v>
      </c>
      <c r="AI140" s="46">
        <f t="shared" ref="AI140:AI144" si="825">+IFERROR(AI126/AH126-1,"n/a")</f>
        <v>0.14390797592747773</v>
      </c>
      <c r="AJ140" s="46">
        <f t="shared" ref="AJ140:AJ144" si="826">+IFERROR(AJ126/AI126-1,"n/a")</f>
        <v>-0.17020813993771244</v>
      </c>
      <c r="AK140" s="46">
        <f t="shared" ref="AK140:AK144" si="827">+IFERROR(AK126/AJ126-1,"n/a")</f>
        <v>0.14435120849263061</v>
      </c>
      <c r="AL140" s="46">
        <f t="shared" ref="AL140:AL144" si="828">+IFERROR(AL126/AK126-1,"n/a")</f>
        <v>6.7341519648408177E-2</v>
      </c>
      <c r="AM140" s="46">
        <f t="shared" ref="AM140:AM144" si="829">+IFERROR(AM126/AL126-1,"n/a")</f>
        <v>0.1439079759274775</v>
      </c>
      <c r="AP140" s="46"/>
      <c r="AQ140" s="46"/>
      <c r="AR140" s="46"/>
      <c r="AS140" s="46"/>
      <c r="AT140" s="46"/>
      <c r="AU140" s="46"/>
      <c r="AV140" s="46"/>
      <c r="AW140" s="46"/>
      <c r="AX140" s="46"/>
    </row>
    <row r="141" spans="1:50" ht="13.5" outlineLevel="1" x14ac:dyDescent="0.35">
      <c r="B141" s="20" t="s">
        <v>226</v>
      </c>
      <c r="I141" s="47">
        <f t="shared" ref="I141:X144" si="830">+IFERROR(I127/H127-1,"n/a")</f>
        <v>0.2227454214043918</v>
      </c>
      <c r="J141" s="47">
        <f t="shared" si="830"/>
        <v>0.17799487716433893</v>
      </c>
      <c r="K141" s="47">
        <f t="shared" si="830"/>
        <v>0.48527266472997144</v>
      </c>
      <c r="L141" s="47">
        <f t="shared" si="830"/>
        <v>8.8683174877945969E-3</v>
      </c>
      <c r="M141" s="47">
        <f t="shared" si="830"/>
        <v>0.37893563900199401</v>
      </c>
      <c r="N141" s="47">
        <f t="shared" si="830"/>
        <v>-2.4840357986961159E-2</v>
      </c>
      <c r="O141" s="47">
        <f t="shared" si="830"/>
        <v>0.37823881329805986</v>
      </c>
      <c r="P141" s="47">
        <f t="shared" si="830"/>
        <v>-5.1750997037142921E-2</v>
      </c>
      <c r="Q141" s="47">
        <f t="shared" si="830"/>
        <v>8.5649258335089407E-2</v>
      </c>
      <c r="R141" s="47">
        <f t="shared" si="830"/>
        <v>0.16994915761840912</v>
      </c>
      <c r="S141" s="47">
        <f t="shared" si="830"/>
        <v>0.70245787929652215</v>
      </c>
      <c r="T141" s="47">
        <f t="shared" si="830"/>
        <v>0.29260301999439986</v>
      </c>
      <c r="U141" s="47">
        <f t="shared" si="830"/>
        <v>2.5981118720098229E-2</v>
      </c>
      <c r="V141" s="47">
        <f t="shared" si="830"/>
        <v>0.15610555525631753</v>
      </c>
      <c r="W141" s="47">
        <f t="shared" si="830"/>
        <v>0.35863942479279776</v>
      </c>
      <c r="X141" s="47">
        <f t="shared" si="830"/>
        <v>0.18356970900190439</v>
      </c>
      <c r="Y141" s="47">
        <f t="shared" si="824"/>
        <v>0.11174289405153304</v>
      </c>
      <c r="Z141" s="47">
        <f t="shared" si="824"/>
        <v>0.12966830094300263</v>
      </c>
      <c r="AA141" s="47">
        <f t="shared" si="824"/>
        <v>0.25267905509514565</v>
      </c>
      <c r="AB141" s="47">
        <f t="shared" si="824"/>
        <v>0.18143270353139895</v>
      </c>
      <c r="AC141" s="47">
        <f t="shared" si="824"/>
        <v>0.38058655831289578</v>
      </c>
      <c r="AD141" s="47">
        <f t="shared" si="824"/>
        <v>1.0318414861195531</v>
      </c>
      <c r="AE141" s="47">
        <f t="shared" si="824"/>
        <v>0.37913221258838758</v>
      </c>
      <c r="AF141" s="47">
        <f t="shared" si="824"/>
        <v>0.10322981842894907</v>
      </c>
      <c r="AG141" s="47">
        <f t="shared" si="824"/>
        <v>8.0887904305491753E-2</v>
      </c>
      <c r="AH141" s="47">
        <f t="shared" si="824"/>
        <v>4.2961129483947369E-2</v>
      </c>
      <c r="AI141" s="47">
        <f t="shared" si="825"/>
        <v>6.8273258873319698E-2</v>
      </c>
      <c r="AJ141" s="47">
        <f t="shared" si="826"/>
        <v>-9.1906311714479161E-2</v>
      </c>
      <c r="AK141" s="47">
        <f t="shared" si="827"/>
        <v>0.18699229909305903</v>
      </c>
      <c r="AL141" s="47">
        <f t="shared" si="828"/>
        <v>7.4798046252562589E-2</v>
      </c>
      <c r="AM141" s="47">
        <f t="shared" si="829"/>
        <v>8.9412722294019753E-2</v>
      </c>
      <c r="AP141" s="46"/>
      <c r="AQ141" s="46"/>
      <c r="AR141" s="46"/>
      <c r="AS141" s="46"/>
      <c r="AT141" s="46"/>
      <c r="AU141" s="46"/>
      <c r="AV141" s="46"/>
      <c r="AW141" s="46"/>
      <c r="AX141" s="46"/>
    </row>
    <row r="142" spans="1:50" outlineLevel="1" x14ac:dyDescent="0.2">
      <c r="B142" s="30" t="s">
        <v>223</v>
      </c>
      <c r="I142" s="46">
        <f t="shared" si="830"/>
        <v>0.95654930940543337</v>
      </c>
      <c r="J142" s="46">
        <f t="shared" si="824"/>
        <v>0.24487291836314329</v>
      </c>
      <c r="K142" s="46">
        <f t="shared" si="824"/>
        <v>0.67651874708295345</v>
      </c>
      <c r="L142" s="46">
        <f t="shared" si="824"/>
        <v>-0.19609715167630537</v>
      </c>
      <c r="M142" s="46">
        <f t="shared" si="824"/>
        <v>0.60389016642597348</v>
      </c>
      <c r="N142" s="46">
        <f t="shared" si="824"/>
        <v>3.071875915636868E-2</v>
      </c>
      <c r="O142" s="46">
        <f t="shared" si="824"/>
        <v>0.43635888882914808</v>
      </c>
      <c r="P142" s="46">
        <f t="shared" si="824"/>
        <v>-0.39393819503988148</v>
      </c>
      <c r="Q142" s="46">
        <f t="shared" si="824"/>
        <v>0.86411940329539916</v>
      </c>
      <c r="R142" s="46">
        <f t="shared" si="824"/>
        <v>0.13315862011274193</v>
      </c>
      <c r="S142" s="46">
        <f t="shared" si="824"/>
        <v>0.53361231414146104</v>
      </c>
      <c r="T142" s="46">
        <f t="shared" si="824"/>
        <v>-0.19570204805506031</v>
      </c>
      <c r="U142" s="46">
        <f t="shared" si="824"/>
        <v>0.23734701968748273</v>
      </c>
      <c r="V142" s="46">
        <f t="shared" si="824"/>
        <v>1.5913557138051981E-2</v>
      </c>
      <c r="W142" s="46">
        <f t="shared" si="824"/>
        <v>0.26725365989341809</v>
      </c>
      <c r="X142" s="46">
        <f t="shared" si="824"/>
        <v>-0.12521029172509412</v>
      </c>
      <c r="Y142" s="46">
        <f t="shared" si="824"/>
        <v>0.32164547521851961</v>
      </c>
      <c r="Z142" s="46">
        <f t="shared" si="824"/>
        <v>0.1293146440689239</v>
      </c>
      <c r="AA142" s="46">
        <f t="shared" si="824"/>
        <v>0.1216978823877759</v>
      </c>
      <c r="AB142" s="46">
        <f t="shared" si="824"/>
        <v>-5.3437705119766421E-2</v>
      </c>
      <c r="AC142" s="46">
        <f t="shared" si="824"/>
        <v>0.38907666780472949</v>
      </c>
      <c r="AD142" s="46">
        <f t="shared" si="824"/>
        <v>0.31674418659809533</v>
      </c>
      <c r="AE142" s="46">
        <f t="shared" si="824"/>
        <v>0.29111791102927076</v>
      </c>
      <c r="AF142" s="46">
        <f t="shared" si="824"/>
        <v>-2.3278047749128228E-2</v>
      </c>
      <c r="AG142" s="46">
        <f t="shared" si="824"/>
        <v>0.11804203376860345</v>
      </c>
      <c r="AH142" s="46">
        <f t="shared" si="824"/>
        <v>2.3643942808666552E-2</v>
      </c>
      <c r="AI142" s="46">
        <f t="shared" si="825"/>
        <v>0.10584231014567891</v>
      </c>
      <c r="AJ142" s="46">
        <f t="shared" si="826"/>
        <v>-0.13213897935508467</v>
      </c>
      <c r="AK142" s="46">
        <f t="shared" si="827"/>
        <v>0.16604373699158925</v>
      </c>
      <c r="AL142" s="46">
        <f t="shared" si="828"/>
        <v>7.1202979336428163E-2</v>
      </c>
      <c r="AM142" s="46">
        <f t="shared" si="829"/>
        <v>0.11559218426636741</v>
      </c>
      <c r="AP142" s="46"/>
      <c r="AQ142" s="46"/>
      <c r="AR142" s="46"/>
      <c r="AS142" s="46"/>
      <c r="AT142" s="46"/>
      <c r="AU142" s="46"/>
      <c r="AV142" s="46"/>
      <c r="AW142" s="46"/>
      <c r="AX142" s="46"/>
    </row>
    <row r="143" spans="1:50" ht="13.5" outlineLevel="1" x14ac:dyDescent="0.35">
      <c r="B143" s="20" t="s">
        <v>222</v>
      </c>
      <c r="I143" s="47" t="str">
        <f t="shared" si="830"/>
        <v>n/a</v>
      </c>
      <c r="J143" s="47" t="str">
        <f t="shared" si="824"/>
        <v>n/a</v>
      </c>
      <c r="K143" s="47" t="str">
        <f t="shared" si="824"/>
        <v>n/a</v>
      </c>
      <c r="L143" s="47" t="str">
        <f t="shared" si="824"/>
        <v>n/a</v>
      </c>
      <c r="M143" s="47" t="str">
        <f t="shared" si="824"/>
        <v>n/a</v>
      </c>
      <c r="N143" s="47" t="str">
        <f t="shared" si="824"/>
        <v>n/a</v>
      </c>
      <c r="O143" s="47" t="str">
        <f t="shared" si="824"/>
        <v>n/a</v>
      </c>
      <c r="P143" s="47" t="str">
        <f t="shared" si="824"/>
        <v>n/a</v>
      </c>
      <c r="Q143" s="47" t="str">
        <f t="shared" si="824"/>
        <v>n/a</v>
      </c>
      <c r="R143" s="47" t="str">
        <f t="shared" si="824"/>
        <v>n/a</v>
      </c>
      <c r="S143" s="47">
        <f t="shared" si="824"/>
        <v>12.63938119555422</v>
      </c>
      <c r="T143" s="47">
        <f t="shared" si="824"/>
        <v>-4.3620303595715448E-2</v>
      </c>
      <c r="U143" s="47">
        <f t="shared" si="824"/>
        <v>-0.61785513973277073</v>
      </c>
      <c r="V143" s="47">
        <f t="shared" si="824"/>
        <v>-0.95806528874256125</v>
      </c>
      <c r="W143" s="47">
        <f t="shared" si="824"/>
        <v>-5.3948730438959647E-3</v>
      </c>
      <c r="X143" s="47">
        <f t="shared" si="824"/>
        <v>-0.46301057890097286</v>
      </c>
      <c r="Y143" s="47">
        <f t="shared" si="824"/>
        <v>0.15625783797341364</v>
      </c>
      <c r="Z143" s="47">
        <f t="shared" si="824"/>
        <v>0.11234470518635375</v>
      </c>
      <c r="AA143" s="47">
        <f t="shared" si="824"/>
        <v>3.1733650078890951E-2</v>
      </c>
      <c r="AB143" s="47">
        <f t="shared" si="824"/>
        <v>-1</v>
      </c>
      <c r="AC143" s="47" t="str">
        <f t="shared" si="824"/>
        <v>n/a</v>
      </c>
      <c r="AD143" s="47" t="str">
        <f t="shared" si="824"/>
        <v>n/a</v>
      </c>
      <c r="AE143" s="47" t="str">
        <f t="shared" si="824"/>
        <v>n/a</v>
      </c>
      <c r="AF143" s="47" t="str">
        <f t="shared" si="824"/>
        <v>n/a</v>
      </c>
      <c r="AG143" s="47" t="str">
        <f t="shared" si="824"/>
        <v>n/a</v>
      </c>
      <c r="AH143" s="47" t="str">
        <f t="shared" si="824"/>
        <v>n/a</v>
      </c>
      <c r="AI143" s="47" t="str">
        <f t="shared" si="825"/>
        <v>n/a</v>
      </c>
      <c r="AJ143" s="47" t="str">
        <f t="shared" si="826"/>
        <v>n/a</v>
      </c>
      <c r="AK143" s="47" t="str">
        <f t="shared" si="827"/>
        <v>n/a</v>
      </c>
      <c r="AL143" s="47" t="str">
        <f t="shared" si="828"/>
        <v>n/a</v>
      </c>
      <c r="AM143" s="47" t="str">
        <f t="shared" si="829"/>
        <v>n/a</v>
      </c>
      <c r="AP143" s="46"/>
      <c r="AQ143" s="46"/>
      <c r="AR143" s="46"/>
      <c r="AS143" s="46"/>
      <c r="AT143" s="46"/>
      <c r="AU143" s="46"/>
      <c r="AV143" s="46"/>
      <c r="AW143" s="46"/>
      <c r="AX143" s="46"/>
    </row>
    <row r="144" spans="1:50" outlineLevel="1" x14ac:dyDescent="0.2">
      <c r="B144" s="30" t="s">
        <v>224</v>
      </c>
      <c r="I144" s="46">
        <f t="shared" si="830"/>
        <v>0.95654930940543337</v>
      </c>
      <c r="J144" s="46">
        <f t="shared" si="824"/>
        <v>0.24487291836314329</v>
      </c>
      <c r="K144" s="46">
        <f t="shared" si="824"/>
        <v>0.67651874708295345</v>
      </c>
      <c r="L144" s="46">
        <f t="shared" si="824"/>
        <v>-0.19609715167630537</v>
      </c>
      <c r="M144" s="46">
        <f t="shared" si="824"/>
        <v>0.60389016642597348</v>
      </c>
      <c r="N144" s="46">
        <f t="shared" si="824"/>
        <v>3.071875915636868E-2</v>
      </c>
      <c r="O144" s="46">
        <f t="shared" si="824"/>
        <v>0.43635888882914808</v>
      </c>
      <c r="P144" s="46">
        <f t="shared" si="824"/>
        <v>-0.39393819503988148</v>
      </c>
      <c r="Q144" s="46">
        <f t="shared" si="824"/>
        <v>0.86411940329539916</v>
      </c>
      <c r="R144" s="46">
        <f t="shared" si="824"/>
        <v>0.16537479758375784</v>
      </c>
      <c r="S144" s="46">
        <f t="shared" si="824"/>
        <v>0.86826997064416633</v>
      </c>
      <c r="T144" s="46">
        <f t="shared" si="824"/>
        <v>-0.16500896555706568</v>
      </c>
      <c r="U144" s="46">
        <f t="shared" si="824"/>
        <v>3.9658820488869706E-2</v>
      </c>
      <c r="V144" s="46">
        <f t="shared" si="824"/>
        <v>-6.6842284765137205E-2</v>
      </c>
      <c r="W144" s="46">
        <f t="shared" si="824"/>
        <v>0.26621261152478359</v>
      </c>
      <c r="X144" s="46">
        <f t="shared" si="824"/>
        <v>-0.12622343721620011</v>
      </c>
      <c r="Y144" s="46">
        <f t="shared" si="824"/>
        <v>0.32134062944169783</v>
      </c>
      <c r="Z144" s="46">
        <f t="shared" si="824"/>
        <v>0.12928727264954776</v>
      </c>
      <c r="AA144" s="46">
        <f t="shared" si="824"/>
        <v>0.12155495288683871</v>
      </c>
      <c r="AB144" s="46">
        <f t="shared" si="824"/>
        <v>-5.4821106604947323E-2</v>
      </c>
      <c r="AC144" s="46">
        <f t="shared" si="824"/>
        <v>0.38907666780472949</v>
      </c>
      <c r="AD144" s="46">
        <f t="shared" si="824"/>
        <v>0.31674418659809533</v>
      </c>
      <c r="AE144" s="46">
        <f t="shared" si="824"/>
        <v>0.29111791102927076</v>
      </c>
      <c r="AF144" s="46">
        <f t="shared" si="824"/>
        <v>-2.3278047749128228E-2</v>
      </c>
      <c r="AG144" s="46">
        <f t="shared" si="824"/>
        <v>0.11804203376860345</v>
      </c>
      <c r="AH144" s="46">
        <f t="shared" si="824"/>
        <v>2.3643942808666552E-2</v>
      </c>
      <c r="AI144" s="46">
        <f t="shared" si="825"/>
        <v>0.10584231014567891</v>
      </c>
      <c r="AJ144" s="46">
        <f t="shared" si="826"/>
        <v>-0.13213897935508467</v>
      </c>
      <c r="AK144" s="46">
        <f t="shared" si="827"/>
        <v>0.16604373699158925</v>
      </c>
      <c r="AL144" s="46">
        <f t="shared" si="828"/>
        <v>7.1202979336428163E-2</v>
      </c>
      <c r="AM144" s="46">
        <f t="shared" si="829"/>
        <v>0.11559218426636741</v>
      </c>
      <c r="AP144" s="46"/>
      <c r="AQ144" s="46"/>
      <c r="AR144" s="46"/>
      <c r="AS144" s="46"/>
      <c r="AT144" s="46"/>
      <c r="AU144" s="46"/>
      <c r="AV144" s="46"/>
      <c r="AW144" s="46"/>
      <c r="AX144" s="46"/>
    </row>
    <row r="145" spans="2:51" outlineLevel="1" x14ac:dyDescent="0.2">
      <c r="B145" s="30"/>
      <c r="I145" s="46"/>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P145" s="46"/>
      <c r="AQ145" s="46"/>
      <c r="AR145" s="46"/>
      <c r="AS145" s="46"/>
      <c r="AT145" s="46"/>
      <c r="AU145" s="46"/>
      <c r="AV145" s="46"/>
      <c r="AW145" s="46"/>
      <c r="AX145" s="46"/>
    </row>
    <row r="146" spans="2:51" x14ac:dyDescent="0.2">
      <c r="B146" s="6" t="s">
        <v>104</v>
      </c>
      <c r="C146" s="5"/>
    </row>
    <row r="147" spans="2:51" x14ac:dyDescent="0.2">
      <c r="B147" s="24"/>
    </row>
    <row r="148" spans="2:51" x14ac:dyDescent="0.2">
      <c r="B148" s="24" t="s">
        <v>370</v>
      </c>
      <c r="AE148" s="10"/>
    </row>
    <row r="149" spans="2:51" x14ac:dyDescent="0.2">
      <c r="B149" s="184" t="s">
        <v>225</v>
      </c>
      <c r="H149" s="14">
        <f t="shared" ref="H149:AE149" si="831">+IFERROR(H200-H170-H185,"n/a")</f>
        <v>1108.0999999999999</v>
      </c>
      <c r="I149" s="14">
        <f t="shared" si="831"/>
        <v>2370.9520000000002</v>
      </c>
      <c r="J149" s="14">
        <f t="shared" si="831"/>
        <v>2974.145</v>
      </c>
      <c r="K149" s="14">
        <f t="shared" si="831"/>
        <v>5062.3779999999997</v>
      </c>
      <c r="L149" s="14">
        <f t="shared" si="831"/>
        <v>3948.4140000000002</v>
      </c>
      <c r="M149" s="14">
        <f t="shared" si="831"/>
        <v>6467.0730000000003</v>
      </c>
      <c r="N149" s="14">
        <f t="shared" si="831"/>
        <v>6711.4549999999999</v>
      </c>
      <c r="O149" s="14">
        <f t="shared" si="831"/>
        <v>9686.6990000000005</v>
      </c>
      <c r="P149" s="14">
        <f t="shared" si="831"/>
        <v>5492.27</v>
      </c>
      <c r="Q149" s="14">
        <f t="shared" si="831"/>
        <v>11054.698</v>
      </c>
      <c r="R149" s="14">
        <f t="shared" si="831"/>
        <v>12484.835999999999</v>
      </c>
      <c r="S149" s="14">
        <f t="shared" si="831"/>
        <v>18921.974999999999</v>
      </c>
      <c r="T149" s="14">
        <f t="shared" si="831"/>
        <v>14111.486000000001</v>
      </c>
      <c r="U149" s="14">
        <f t="shared" si="831"/>
        <v>18080.419000000002</v>
      </c>
      <c r="V149" s="14">
        <f t="shared" si="831"/>
        <v>17946.495999999999</v>
      </c>
      <c r="W149" s="14">
        <f t="shared" si="831"/>
        <v>22425.001000000004</v>
      </c>
      <c r="X149" s="14">
        <f t="shared" si="831"/>
        <v>18158.424999999999</v>
      </c>
      <c r="Y149" s="14">
        <f t="shared" si="831"/>
        <v>25172.651000000002</v>
      </c>
      <c r="Z149" s="14">
        <f t="shared" si="831"/>
        <v>28425.645</v>
      </c>
      <c r="AA149" s="14">
        <f t="shared" si="831"/>
        <v>30965.202999999994</v>
      </c>
      <c r="AB149" s="14">
        <f t="shared" si="831"/>
        <v>27244.425999999999</v>
      </c>
      <c r="AC149" s="14">
        <f t="shared" si="831"/>
        <v>37932.830999999998</v>
      </c>
      <c r="AD149" s="14">
        <f t="shared" si="831"/>
        <v>39687.678</v>
      </c>
      <c r="AE149" s="14">
        <f t="shared" si="831"/>
        <v>48675.618000000002</v>
      </c>
      <c r="AF149" s="14">
        <f t="shared" ref="AF149:AG149" si="832">+IFERROR(AF200-AF170-AF185,"n/a")</f>
        <v>42456.243000000002</v>
      </c>
      <c r="AG149" s="14">
        <f t="shared" si="832"/>
        <v>49115.866000000002</v>
      </c>
      <c r="AH149" s="14">
        <f t="shared" ref="AH149" si="833">+IFERROR(AH200-AH170-AH185,"n/a")</f>
        <v>49351.021999999997</v>
      </c>
      <c r="AI149" s="14">
        <f t="shared" ref="AI149:AM150" si="834">+AI276*(AI$223*1000-AI$129)</f>
        <v>56453.027685972425</v>
      </c>
      <c r="AJ149" s="14">
        <f t="shared" ref="AJ149:AM149" si="835">+AJ276*(AJ$223*1000-AJ$129)</f>
        <v>46844.262849690873</v>
      </c>
      <c r="AK149" s="14">
        <f t="shared" si="835"/>
        <v>53606.288802990195</v>
      </c>
      <c r="AL149" s="14">
        <f t="shared" si="835"/>
        <v>57216.217753694997</v>
      </c>
      <c r="AM149" s="14">
        <f t="shared" si="835"/>
        <v>65450.087840855049</v>
      </c>
      <c r="AO149" s="14">
        <f>+IFERROR(AO200-AO170-AO185,"n/a")</f>
        <v>0</v>
      </c>
      <c r="AP149" s="14">
        <f>+IFERROR(AP200-AP170-AP185,"n/a")</f>
        <v>1209.2750000000001</v>
      </c>
      <c r="AQ149" s="14">
        <f>+SUM(H149:K149)</f>
        <v>11515.575000000001</v>
      </c>
      <c r="AR149" s="14">
        <f>+SUM(L149:O149)</f>
        <v>26813.641000000003</v>
      </c>
      <c r="AS149" s="14">
        <f>+SUM(P149:S149)</f>
        <v>47953.778999999995</v>
      </c>
      <c r="AT149" s="14">
        <f>+SUM(T149:W149)</f>
        <v>72563.402000000002</v>
      </c>
      <c r="AU149" s="14">
        <f>+SUM(X149:AA149)</f>
        <v>102721.924</v>
      </c>
      <c r="AV149" s="14">
        <f>+SUM(AB149:AE149)</f>
        <v>153540.55300000001</v>
      </c>
      <c r="AW149" s="10">
        <f>+SUM(AF149:AI149)</f>
        <v>197376.15868597242</v>
      </c>
      <c r="AX149" s="14">
        <f>+SUM(AJ149:AM149)</f>
        <v>223116.85724723112</v>
      </c>
    </row>
    <row r="150" spans="2:51" ht="13.5" x14ac:dyDescent="0.35">
      <c r="B150" s="184" t="s">
        <v>226</v>
      </c>
      <c r="H150" s="15">
        <f t="shared" ref="H150:AE150" si="836">+IFERROR(H201-H171-H186,"n/a")</f>
        <v>276.50400000000002</v>
      </c>
      <c r="I150" s="15">
        <f t="shared" si="836"/>
        <v>338.09399999999999</v>
      </c>
      <c r="J150" s="15">
        <f t="shared" si="836"/>
        <v>398.27300000000002</v>
      </c>
      <c r="K150" s="15">
        <f t="shared" si="836"/>
        <v>591.54399999999998</v>
      </c>
      <c r="L150" s="15">
        <f t="shared" si="836"/>
        <v>596.79</v>
      </c>
      <c r="M150" s="15">
        <f t="shared" si="836"/>
        <v>822.93499999999995</v>
      </c>
      <c r="N150" s="15">
        <f t="shared" si="836"/>
        <v>802.49300000000005</v>
      </c>
      <c r="O150" s="15">
        <f t="shared" si="836"/>
        <v>1106.027</v>
      </c>
      <c r="P150" s="15">
        <f t="shared" si="836"/>
        <v>1048.789</v>
      </c>
      <c r="Q150" s="15">
        <f t="shared" si="836"/>
        <v>1138.617</v>
      </c>
      <c r="R150" s="15">
        <f t="shared" si="836"/>
        <v>1332.124</v>
      </c>
      <c r="S150" s="15">
        <f t="shared" si="836"/>
        <v>1692.9438235294119</v>
      </c>
      <c r="T150" s="15">
        <f t="shared" si="836"/>
        <v>1352.9084007218755</v>
      </c>
      <c r="U150" s="15">
        <f t="shared" si="836"/>
        <v>881.15089208644349</v>
      </c>
      <c r="V150" s="15">
        <f t="shared" si="836"/>
        <v>449.47754937561649</v>
      </c>
      <c r="W150" s="15">
        <f t="shared" si="836"/>
        <v>1205.007735664225</v>
      </c>
      <c r="X150" s="15">
        <f t="shared" si="836"/>
        <v>1980.1140634747599</v>
      </c>
      <c r="Y150" s="15">
        <f t="shared" si="836"/>
        <v>2239.6797706480288</v>
      </c>
      <c r="Z150" s="15">
        <f t="shared" si="836"/>
        <v>2585.1710664412967</v>
      </c>
      <c r="AA150" s="15">
        <f t="shared" si="836"/>
        <v>3461.3679314980855</v>
      </c>
      <c r="AB150" s="15">
        <f t="shared" si="836"/>
        <v>3525.4706298110873</v>
      </c>
      <c r="AC150" s="15">
        <f t="shared" si="836"/>
        <v>4125.0183173725454</v>
      </c>
      <c r="AD150" s="15">
        <f t="shared" si="836"/>
        <v>3867.4952810965406</v>
      </c>
      <c r="AE150" s="15">
        <f t="shared" si="836"/>
        <v>7222.9417342545385</v>
      </c>
      <c r="AF150" s="15">
        <f t="shared" ref="AF150:AG150" si="837">+IFERROR(AF201-AF171-AF186,"n/a")</f>
        <v>5502.3744809435666</v>
      </c>
      <c r="AG150" s="15">
        <f t="shared" si="837"/>
        <v>5573.2184272410523</v>
      </c>
      <c r="AH150" s="15">
        <f t="shared" ref="AH150" si="838">+IFERROR(AH201-AH171-AH186,"n/a")</f>
        <v>4471.2374347538498</v>
      </c>
      <c r="AI150" s="15">
        <f t="shared" si="834"/>
        <v>4091.7473311043555</v>
      </c>
      <c r="AJ150" s="15">
        <f t="shared" si="834"/>
        <v>3482.3575679815222</v>
      </c>
      <c r="AK150" s="15">
        <f t="shared" si="834"/>
        <v>3854.003956792179</v>
      </c>
      <c r="AL150" s="15">
        <f t="shared" si="834"/>
        <v>4113.5384399735422</v>
      </c>
      <c r="AM150" s="15">
        <f t="shared" si="834"/>
        <v>4705.5094307700083</v>
      </c>
      <c r="AO150" s="15">
        <f>+IFERROR(AO201-AO171-AO186,"n/a")</f>
        <v>48.276000000000003</v>
      </c>
      <c r="AP150" s="15">
        <f>+IFERROR(AP201-AP171-AP186,"n/a")</f>
        <v>531.41600000000005</v>
      </c>
      <c r="AQ150" s="36">
        <f>+SUM(H150:K150)</f>
        <v>1604.415</v>
      </c>
      <c r="AR150" s="36">
        <f>+SUM(L150:O150)</f>
        <v>3328.2449999999999</v>
      </c>
      <c r="AS150" s="36">
        <f>+SUM(P150:S150)</f>
        <v>5212.4738235294117</v>
      </c>
      <c r="AT150" s="36">
        <f>+SUM(T150:W150)</f>
        <v>3888.5445778481603</v>
      </c>
      <c r="AU150" s="36">
        <f>+SUM(X150:AA150)</f>
        <v>10266.332832062171</v>
      </c>
      <c r="AV150" s="36">
        <f>+SUM(AB150:AE150)</f>
        <v>18740.925962534711</v>
      </c>
      <c r="AW150" s="25">
        <f>+SUM(AF150:AI150)</f>
        <v>19638.577674042823</v>
      </c>
      <c r="AX150" s="36">
        <f t="shared" ref="AX150:AX153" si="839">+SUM(AJ150:AM150)</f>
        <v>16155.409395517254</v>
      </c>
      <c r="AY150" s="157"/>
    </row>
    <row r="151" spans="2:51" x14ac:dyDescent="0.2">
      <c r="B151" s="4" t="s">
        <v>223</v>
      </c>
      <c r="H151" s="10">
        <f>IFERROR(H149+H150,"n/a")</f>
        <v>1384.6039999999998</v>
      </c>
      <c r="I151" s="10">
        <f t="shared" ref="I151:AE151" si="840">IFERROR(I149+I150,"n/a")</f>
        <v>2709.0460000000003</v>
      </c>
      <c r="J151" s="10">
        <f t="shared" si="840"/>
        <v>3372.4180000000001</v>
      </c>
      <c r="K151" s="10">
        <f t="shared" si="840"/>
        <v>5653.9219999999996</v>
      </c>
      <c r="L151" s="10">
        <f t="shared" si="840"/>
        <v>4545.2039999999997</v>
      </c>
      <c r="M151" s="10">
        <f t="shared" si="840"/>
        <v>7290.0079999999998</v>
      </c>
      <c r="N151" s="10">
        <f t="shared" si="840"/>
        <v>7513.9480000000003</v>
      </c>
      <c r="O151" s="10">
        <f t="shared" si="840"/>
        <v>10792.726000000001</v>
      </c>
      <c r="P151" s="10">
        <f t="shared" si="840"/>
        <v>6541.0590000000002</v>
      </c>
      <c r="Q151" s="10">
        <f t="shared" si="840"/>
        <v>12193.315000000001</v>
      </c>
      <c r="R151" s="10">
        <f t="shared" si="840"/>
        <v>13816.96</v>
      </c>
      <c r="S151" s="10">
        <f t="shared" si="840"/>
        <v>20614.91882352941</v>
      </c>
      <c r="T151" s="10">
        <f t="shared" si="840"/>
        <v>15464.394400721876</v>
      </c>
      <c r="U151" s="10">
        <f t="shared" si="840"/>
        <v>18961.569892086445</v>
      </c>
      <c r="V151" s="10">
        <f t="shared" si="840"/>
        <v>18395.973549375616</v>
      </c>
      <c r="W151" s="10">
        <f t="shared" si="840"/>
        <v>23630.008735664229</v>
      </c>
      <c r="X151" s="10">
        <f t="shared" si="840"/>
        <v>20138.53906347476</v>
      </c>
      <c r="Y151" s="10">
        <f t="shared" si="840"/>
        <v>27412.33077064803</v>
      </c>
      <c r="Z151" s="10">
        <f t="shared" si="840"/>
        <v>31010.816066441297</v>
      </c>
      <c r="AA151" s="10">
        <f t="shared" si="840"/>
        <v>34426.570931498078</v>
      </c>
      <c r="AB151" s="10">
        <f t="shared" si="840"/>
        <v>30769.896629811086</v>
      </c>
      <c r="AC151" s="10">
        <f t="shared" si="840"/>
        <v>42057.849317372544</v>
      </c>
      <c r="AD151" s="10">
        <f t="shared" si="840"/>
        <v>43555.17328109654</v>
      </c>
      <c r="AE151" s="10">
        <f t="shared" si="840"/>
        <v>55898.559734254537</v>
      </c>
      <c r="AF151" s="10">
        <f t="shared" ref="AF151:AG151" si="841">IFERROR(AF149+AF150,"n/a")</f>
        <v>47958.617480943569</v>
      </c>
      <c r="AG151" s="10">
        <f t="shared" si="841"/>
        <v>54689.084427241054</v>
      </c>
      <c r="AH151" s="10">
        <f t="shared" ref="AH151" si="842">IFERROR(AH149+AH150,"n/a")</f>
        <v>53822.259434753847</v>
      </c>
      <c r="AI151" s="14">
        <f t="shared" ref="AI151:AM151" si="843">SUM(AI149:AI150)</f>
        <v>60544.775017076783</v>
      </c>
      <c r="AJ151" s="14">
        <f t="shared" si="843"/>
        <v>50326.620417672399</v>
      </c>
      <c r="AK151" s="14">
        <f t="shared" si="843"/>
        <v>57460.292759782373</v>
      </c>
      <c r="AL151" s="14">
        <f t="shared" si="843"/>
        <v>61329.756193668538</v>
      </c>
      <c r="AM151" s="14">
        <f t="shared" si="843"/>
        <v>70155.597271625054</v>
      </c>
      <c r="AO151" s="10">
        <f>IFERROR(AO149+AO150,"n/a")</f>
        <v>48.276000000000003</v>
      </c>
      <c r="AP151" s="10">
        <f>IFERROR(AP149+AP150,"n/a")</f>
        <v>1740.6910000000003</v>
      </c>
      <c r="AQ151" s="10">
        <f>+SUM(H151:K151)</f>
        <v>13119.99</v>
      </c>
      <c r="AR151" s="10">
        <f>+SUM(L151:O151)</f>
        <v>30141.885999999999</v>
      </c>
      <c r="AS151" s="10">
        <f>+SUM(P151:S151)</f>
        <v>53166.252823529408</v>
      </c>
      <c r="AT151" s="10">
        <f>+SUM(T151:W151)</f>
        <v>76451.946577848168</v>
      </c>
      <c r="AU151" s="10">
        <f>+SUM(X151:AA151)</f>
        <v>112988.25683206216</v>
      </c>
      <c r="AV151" s="10">
        <f>+SUM(AB151:AE151)</f>
        <v>172281.47896253469</v>
      </c>
      <c r="AW151" s="10">
        <f>+SUM(AF151:AI151)</f>
        <v>217014.73636001526</v>
      </c>
      <c r="AX151" s="10">
        <f t="shared" si="839"/>
        <v>239272.26664274838</v>
      </c>
      <c r="AY151" s="206"/>
    </row>
    <row r="152" spans="2:51" ht="13.5" x14ac:dyDescent="0.35">
      <c r="B152" s="184" t="s">
        <v>222</v>
      </c>
      <c r="H152" s="15">
        <f>+H203</f>
        <v>0</v>
      </c>
      <c r="I152" s="15">
        <f t="shared" ref="I152:AE152" si="844">+I203</f>
        <v>0</v>
      </c>
      <c r="J152" s="15">
        <f t="shared" si="844"/>
        <v>0</v>
      </c>
      <c r="K152" s="15">
        <f t="shared" si="844"/>
        <v>0</v>
      </c>
      <c r="L152" s="15">
        <f t="shared" si="844"/>
        <v>0</v>
      </c>
      <c r="M152" s="15">
        <f t="shared" si="844"/>
        <v>0</v>
      </c>
      <c r="N152" s="15">
        <f t="shared" si="844"/>
        <v>0</v>
      </c>
      <c r="O152" s="15">
        <f t="shared" si="844"/>
        <v>0</v>
      </c>
      <c r="P152" s="15">
        <f t="shared" si="844"/>
        <v>0</v>
      </c>
      <c r="Q152" s="15">
        <f t="shared" si="844"/>
        <v>0</v>
      </c>
      <c r="R152" s="15">
        <f t="shared" si="844"/>
        <v>392.822</v>
      </c>
      <c r="S152" s="15">
        <f t="shared" si="844"/>
        <v>5357.8490000000002</v>
      </c>
      <c r="T152" s="15">
        <f t="shared" si="844"/>
        <v>5124.1379999999999</v>
      </c>
      <c r="U152" s="15">
        <f t="shared" si="844"/>
        <v>1958.163</v>
      </c>
      <c r="V152" s="15">
        <f t="shared" si="844"/>
        <v>82.114999999999995</v>
      </c>
      <c r="W152" s="15">
        <f t="shared" si="844"/>
        <v>81.67200000000048</v>
      </c>
      <c r="X152" s="15">
        <f t="shared" si="844"/>
        <v>43.856999999999999</v>
      </c>
      <c r="Y152" s="15">
        <f t="shared" si="844"/>
        <v>50.71</v>
      </c>
      <c r="Z152" s="15">
        <f t="shared" si="844"/>
        <v>56.406999999999996</v>
      </c>
      <c r="AA152" s="15">
        <f t="shared" si="844"/>
        <v>58.197000000000003</v>
      </c>
      <c r="AB152" s="15">
        <f t="shared" si="844"/>
        <v>0</v>
      </c>
      <c r="AC152" s="15">
        <f t="shared" si="844"/>
        <v>0</v>
      </c>
      <c r="AD152" s="15">
        <f t="shared" si="844"/>
        <v>0</v>
      </c>
      <c r="AE152" s="15">
        <f t="shared" si="844"/>
        <v>0</v>
      </c>
      <c r="AF152" s="15">
        <f t="shared" ref="AF152:AG152" si="845">+AF203</f>
        <v>0</v>
      </c>
      <c r="AG152" s="15">
        <f t="shared" si="845"/>
        <v>0</v>
      </c>
      <c r="AH152" s="15">
        <f t="shared" ref="AH152" si="846">+AH203</f>
        <v>0</v>
      </c>
      <c r="AI152" s="54">
        <v>0</v>
      </c>
      <c r="AJ152" s="54">
        <v>0</v>
      </c>
      <c r="AK152" s="54">
        <v>0</v>
      </c>
      <c r="AL152" s="54">
        <v>0</v>
      </c>
      <c r="AM152" s="54">
        <v>0</v>
      </c>
      <c r="AO152" s="15">
        <f>+AO203</f>
        <v>456.58800000000002</v>
      </c>
      <c r="AP152" s="15">
        <f>+AP203</f>
        <v>3.3849999999999998</v>
      </c>
      <c r="AQ152" s="36">
        <f>+SUM(H152:K152)</f>
        <v>0</v>
      </c>
      <c r="AR152" s="36">
        <f>+SUM(L152:O152)</f>
        <v>0</v>
      </c>
      <c r="AS152" s="36">
        <f>+SUM(P152:S152)</f>
        <v>5750.6710000000003</v>
      </c>
      <c r="AT152" s="36">
        <f>+SUM(T152:W152)</f>
        <v>7246.0879999999997</v>
      </c>
      <c r="AU152" s="36">
        <f>+SUM(X152:AA152)</f>
        <v>209.17099999999999</v>
      </c>
      <c r="AV152" s="36">
        <f>+SUM(AB152:AE152)</f>
        <v>0</v>
      </c>
      <c r="AW152" s="25">
        <f>+SUM(AF152:AI152)</f>
        <v>0</v>
      </c>
      <c r="AX152" s="36">
        <f t="shared" si="839"/>
        <v>0</v>
      </c>
    </row>
    <row r="153" spans="2:51" s="1" customFormat="1" x14ac:dyDescent="0.2">
      <c r="B153" s="38" t="s">
        <v>379</v>
      </c>
      <c r="H153" s="42">
        <f>IFERROR(H151+H152,"n/a")</f>
        <v>1384.6039999999998</v>
      </c>
      <c r="I153" s="42">
        <f t="shared" ref="I153:AE153" si="847">IFERROR(I151+I152,"n/a")</f>
        <v>2709.0460000000003</v>
      </c>
      <c r="J153" s="42">
        <f t="shared" si="847"/>
        <v>3372.4180000000001</v>
      </c>
      <c r="K153" s="42">
        <f t="shared" si="847"/>
        <v>5653.9219999999996</v>
      </c>
      <c r="L153" s="42">
        <f t="shared" si="847"/>
        <v>4545.2039999999997</v>
      </c>
      <c r="M153" s="42">
        <f t="shared" si="847"/>
        <v>7290.0079999999998</v>
      </c>
      <c r="N153" s="42">
        <f t="shared" si="847"/>
        <v>7513.9480000000003</v>
      </c>
      <c r="O153" s="42">
        <f t="shared" si="847"/>
        <v>10792.726000000001</v>
      </c>
      <c r="P153" s="42">
        <f t="shared" si="847"/>
        <v>6541.0590000000002</v>
      </c>
      <c r="Q153" s="42">
        <f t="shared" si="847"/>
        <v>12193.315000000001</v>
      </c>
      <c r="R153" s="42">
        <f t="shared" si="847"/>
        <v>14209.781999999999</v>
      </c>
      <c r="S153" s="42">
        <f t="shared" si="847"/>
        <v>25972.767823529408</v>
      </c>
      <c r="T153" s="42">
        <f t="shared" si="847"/>
        <v>20588.532400721877</v>
      </c>
      <c r="U153" s="42">
        <f t="shared" si="847"/>
        <v>20919.732892086446</v>
      </c>
      <c r="V153" s="42">
        <f t="shared" si="847"/>
        <v>18478.088549375618</v>
      </c>
      <c r="W153" s="42">
        <f t="shared" si="847"/>
        <v>23711.680735664231</v>
      </c>
      <c r="X153" s="42">
        <f t="shared" si="847"/>
        <v>20182.39606347476</v>
      </c>
      <c r="Y153" s="42">
        <f t="shared" si="847"/>
        <v>27463.040770648029</v>
      </c>
      <c r="Z153" s="42">
        <f t="shared" si="847"/>
        <v>31067.223066441296</v>
      </c>
      <c r="AA153" s="42">
        <f t="shared" si="847"/>
        <v>34484.767931498078</v>
      </c>
      <c r="AB153" s="42">
        <f t="shared" si="847"/>
        <v>30769.896629811086</v>
      </c>
      <c r="AC153" s="42">
        <f t="shared" si="847"/>
        <v>42057.849317372544</v>
      </c>
      <c r="AD153" s="42">
        <f t="shared" si="847"/>
        <v>43555.17328109654</v>
      </c>
      <c r="AE153" s="42">
        <f t="shared" si="847"/>
        <v>55898.559734254537</v>
      </c>
      <c r="AF153" s="42">
        <f t="shared" ref="AF153:AG153" si="848">IFERROR(AF151+AF152,"n/a")</f>
        <v>47958.617480943569</v>
      </c>
      <c r="AG153" s="42">
        <f t="shared" si="848"/>
        <v>54689.084427241054</v>
      </c>
      <c r="AH153" s="42">
        <f t="shared" ref="AH153" si="849">IFERROR(AH151+AH152,"n/a")</f>
        <v>53822.259434753847</v>
      </c>
      <c r="AI153" s="42">
        <f t="shared" ref="AI153:AJ153" si="850">IFERROR(AI151+AI152,"n/a")</f>
        <v>60544.775017076783</v>
      </c>
      <c r="AJ153" s="42">
        <f t="shared" si="850"/>
        <v>50326.620417672399</v>
      </c>
      <c r="AK153" s="42">
        <f t="shared" ref="AK153:AM153" si="851">IFERROR(AK151+AK152,"n/a")</f>
        <v>57460.292759782373</v>
      </c>
      <c r="AL153" s="42">
        <f t="shared" si="851"/>
        <v>61329.756193668538</v>
      </c>
      <c r="AM153" s="42">
        <f t="shared" si="851"/>
        <v>70155.597271625054</v>
      </c>
      <c r="AO153" s="42">
        <f>IFERROR(AO151+AO152,"n/a")</f>
        <v>504.86400000000003</v>
      </c>
      <c r="AP153" s="42">
        <f>IFERROR(AP151+AP152,"n/a")</f>
        <v>1744.0760000000002</v>
      </c>
      <c r="AQ153" s="48">
        <f>+SUM(H153:K153)</f>
        <v>13119.99</v>
      </c>
      <c r="AR153" s="48">
        <f>+SUM(L153:O153)</f>
        <v>30141.885999999999</v>
      </c>
      <c r="AS153" s="48">
        <f>+SUM(P153:S153)</f>
        <v>58916.923823529411</v>
      </c>
      <c r="AT153" s="48">
        <f>+SUM(T153:W153)</f>
        <v>83698.034577848186</v>
      </c>
      <c r="AU153" s="48">
        <f>+SUM(X153:AA153)</f>
        <v>113197.42783206217</v>
      </c>
      <c r="AV153" s="48">
        <f>+SUM(AB153:AE153)</f>
        <v>172281.47896253469</v>
      </c>
      <c r="AW153" s="42">
        <f>+SUM(AF153:AI153)</f>
        <v>217014.73636001526</v>
      </c>
      <c r="AX153" s="48">
        <f t="shared" si="839"/>
        <v>239272.26664274838</v>
      </c>
    </row>
    <row r="154" spans="2:51" s="1" customFormat="1" x14ac:dyDescent="0.2">
      <c r="B154" s="38"/>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Q154" s="179"/>
      <c r="AR154" s="179"/>
      <c r="AS154" s="179"/>
      <c r="AT154" s="179"/>
      <c r="AU154" s="179"/>
      <c r="AV154" s="179"/>
    </row>
    <row r="155" spans="2:51" s="1" customFormat="1" x14ac:dyDescent="0.2">
      <c r="B155" s="19" t="s">
        <v>85</v>
      </c>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row>
    <row r="156" spans="2:51" s="1" customFormat="1" x14ac:dyDescent="0.2">
      <c r="B156" s="20" t="s">
        <v>225</v>
      </c>
      <c r="H156" s="42"/>
      <c r="I156" s="42"/>
      <c r="J156" s="42"/>
      <c r="K156" s="42"/>
      <c r="L156" s="173">
        <f t="shared" ref="L156:U160" si="852">+IFERROR(L149/H149-1,"n/a")</f>
        <v>2.5632289504557355</v>
      </c>
      <c r="M156" s="173">
        <f t="shared" si="852"/>
        <v>1.7276271303678858</v>
      </c>
      <c r="N156" s="173">
        <f t="shared" si="852"/>
        <v>1.2565997959077313</v>
      </c>
      <c r="O156" s="173">
        <f t="shared" si="852"/>
        <v>0.91346813691115147</v>
      </c>
      <c r="P156" s="173">
        <f t="shared" si="852"/>
        <v>0.39100661683399962</v>
      </c>
      <c r="Q156" s="173">
        <f t="shared" si="852"/>
        <v>0.7093819723389545</v>
      </c>
      <c r="R156" s="173">
        <f t="shared" si="852"/>
        <v>0.86022792375125801</v>
      </c>
      <c r="S156" s="173">
        <f t="shared" si="852"/>
        <v>0.95339764351096257</v>
      </c>
      <c r="T156" s="173">
        <f t="shared" si="852"/>
        <v>1.5693358119684575</v>
      </c>
      <c r="U156" s="173">
        <f t="shared" si="852"/>
        <v>0.63554164935125335</v>
      </c>
      <c r="V156" s="173">
        <f t="shared" ref="V156:AH160" si="853">+IFERROR(V149/R149-1,"n/a")</f>
        <v>0.43746349571592291</v>
      </c>
      <c r="W156" s="173">
        <f t="shared" si="853"/>
        <v>0.18513004060094174</v>
      </c>
      <c r="X156" s="173">
        <f t="shared" si="853"/>
        <v>0.28678333380339938</v>
      </c>
      <c r="Y156" s="173">
        <f t="shared" si="853"/>
        <v>0.39226037847906059</v>
      </c>
      <c r="Z156" s="173">
        <f t="shared" si="853"/>
        <v>0.58391058622251402</v>
      </c>
      <c r="AA156" s="173">
        <f t="shared" si="853"/>
        <v>0.3808339629505475</v>
      </c>
      <c r="AB156" s="173">
        <f t="shared" si="853"/>
        <v>0.50037384850282995</v>
      </c>
      <c r="AC156" s="173">
        <f t="shared" si="853"/>
        <v>0.50690648354835566</v>
      </c>
      <c r="AD156" s="173">
        <f t="shared" si="853"/>
        <v>0.39619269852979588</v>
      </c>
      <c r="AE156" s="173">
        <f t="shared" si="853"/>
        <v>0.57194570951141555</v>
      </c>
      <c r="AF156" s="173">
        <f t="shared" si="853"/>
        <v>0.55834602644959386</v>
      </c>
      <c r="AG156" s="173">
        <f t="shared" si="853"/>
        <v>0.29481150510490517</v>
      </c>
      <c r="AH156" s="173">
        <f t="shared" si="853"/>
        <v>0.24348474103221651</v>
      </c>
      <c r="AI156" s="173">
        <f t="shared" ref="AI156:AJ156" si="854">+IFERROR(AI149/AE149-1,"n/a")</f>
        <v>0.15978039941829647</v>
      </c>
      <c r="AJ156" s="173">
        <f t="shared" si="854"/>
        <v>0.10335393665640336</v>
      </c>
      <c r="AK156" s="173">
        <f t="shared" ref="AK156:AK160" si="855">+IFERROR(AK149/AG149-1,"n/a")</f>
        <v>9.1425096790316074E-2</v>
      </c>
      <c r="AL156" s="173">
        <f t="shared" ref="AL156:AL160" si="856">+IFERROR(AL149/AH149-1,"n/a")</f>
        <v>0.15937249999999992</v>
      </c>
      <c r="AM156" s="173">
        <f t="shared" ref="AM156:AM160" si="857">+IFERROR(AM149/AI149-1,"n/a")</f>
        <v>0.15937249999999969</v>
      </c>
      <c r="AQ156" s="173">
        <f>+IFERROR(AQ149/AP149-1,"n/a")</f>
        <v>8.5227098881561272</v>
      </c>
      <c r="AR156" s="173">
        <f t="shared" ref="AR156:AV156" si="858">+IFERROR(AR149/AQ149-1,"n/a")</f>
        <v>1.3284674017580538</v>
      </c>
      <c r="AS156" s="173">
        <f t="shared" si="858"/>
        <v>0.78840982468587506</v>
      </c>
      <c r="AT156" s="173">
        <f t="shared" si="858"/>
        <v>0.51319465354336335</v>
      </c>
      <c r="AU156" s="173">
        <f t="shared" si="858"/>
        <v>0.41561615316768075</v>
      </c>
      <c r="AV156" s="173">
        <f t="shared" si="858"/>
        <v>0.49472037731692042</v>
      </c>
      <c r="AW156" s="173">
        <f t="shared" ref="AW156:AX156" si="859">+IFERROR(AW149/AV149-1,"n/a")</f>
        <v>0.28549855285445269</v>
      </c>
      <c r="AX156" s="173">
        <f t="shared" si="859"/>
        <v>0.13041442660869906</v>
      </c>
    </row>
    <row r="157" spans="2:51" s="1" customFormat="1" ht="13.5" x14ac:dyDescent="0.35">
      <c r="B157" s="20" t="s">
        <v>226</v>
      </c>
      <c r="H157" s="42"/>
      <c r="I157" s="42"/>
      <c r="J157" s="42"/>
      <c r="K157" s="42"/>
      <c r="L157" s="180">
        <f t="shared" si="852"/>
        <v>1.1583412898185919</v>
      </c>
      <c r="M157" s="180">
        <f t="shared" si="852"/>
        <v>1.4340420119848325</v>
      </c>
      <c r="N157" s="180">
        <f t="shared" si="852"/>
        <v>1.014931968775187</v>
      </c>
      <c r="O157" s="180">
        <f t="shared" si="852"/>
        <v>0.86972904805052553</v>
      </c>
      <c r="P157" s="180">
        <f t="shared" si="852"/>
        <v>0.75738366929740786</v>
      </c>
      <c r="Q157" s="180">
        <f t="shared" si="852"/>
        <v>0.38360502348302128</v>
      </c>
      <c r="R157" s="180">
        <f t="shared" si="852"/>
        <v>0.65998208084058052</v>
      </c>
      <c r="S157" s="180">
        <f t="shared" si="852"/>
        <v>0.53065325125825313</v>
      </c>
      <c r="T157" s="180">
        <f t="shared" si="852"/>
        <v>0.28997195882286664</v>
      </c>
      <c r="U157" s="180">
        <f t="shared" si="852"/>
        <v>-0.22612178451011755</v>
      </c>
      <c r="V157" s="180">
        <f t="shared" si="853"/>
        <v>-0.66258580329187344</v>
      </c>
      <c r="W157" s="180">
        <f t="shared" si="853"/>
        <v>-0.28821753036550768</v>
      </c>
      <c r="X157" s="180">
        <f t="shared" si="853"/>
        <v>0.4635980251273657</v>
      </c>
      <c r="Y157" s="180">
        <f t="shared" si="853"/>
        <v>1.5417664451825916</v>
      </c>
      <c r="Z157" s="180">
        <f t="shared" si="853"/>
        <v>4.751502094003226</v>
      </c>
      <c r="AA157" s="180">
        <f t="shared" si="853"/>
        <v>1.8724860671455428</v>
      </c>
      <c r="AB157" s="180">
        <f t="shared" si="853"/>
        <v>0.78043815497400804</v>
      </c>
      <c r="AC157" s="180">
        <f t="shared" si="853"/>
        <v>0.84178933588305482</v>
      </c>
      <c r="AD157" s="180">
        <f t="shared" si="853"/>
        <v>0.49603070036694707</v>
      </c>
      <c r="AE157" s="180">
        <f t="shared" si="853"/>
        <v>1.0867304132931164</v>
      </c>
      <c r="AF157" s="180">
        <f t="shared" si="853"/>
        <v>0.56074892084362982</v>
      </c>
      <c r="AG157" s="180">
        <f t="shared" si="853"/>
        <v>0.35107725552863633</v>
      </c>
      <c r="AH157" s="180">
        <f t="shared" si="853"/>
        <v>0.1561067589683347</v>
      </c>
      <c r="AI157" s="180">
        <f t="shared" ref="AI157:AJ157" si="860">+IFERROR(AI150/AE150-1,"n/a")</f>
        <v>-0.43350680627819649</v>
      </c>
      <c r="AJ157" s="180">
        <f t="shared" si="860"/>
        <v>-0.36711730907410811</v>
      </c>
      <c r="AK157" s="180">
        <f t="shared" si="855"/>
        <v>-0.30847785581946907</v>
      </c>
      <c r="AL157" s="180">
        <f t="shared" si="856"/>
        <v>-7.999999999999996E-2</v>
      </c>
      <c r="AM157" s="180">
        <f t="shared" si="857"/>
        <v>0.14999999999999991</v>
      </c>
      <c r="AQ157" s="180">
        <f t="shared" ref="AQ157:AV160" si="861">+IFERROR(AQ150/AP150-1,"n/a")</f>
        <v>2.0191319041955826</v>
      </c>
      <c r="AR157" s="180">
        <f t="shared" si="861"/>
        <v>1.0744289974850645</v>
      </c>
      <c r="AS157" s="180">
        <f t="shared" si="861"/>
        <v>0.56613284885259696</v>
      </c>
      <c r="AT157" s="180">
        <f t="shared" si="861"/>
        <v>-0.25399249770904508</v>
      </c>
      <c r="AU157" s="180">
        <f t="shared" si="861"/>
        <v>1.6401479079206922</v>
      </c>
      <c r="AV157" s="180">
        <f t="shared" si="861"/>
        <v>0.82547422425328398</v>
      </c>
      <c r="AW157" s="180">
        <f t="shared" ref="AW157:AX157" si="862">+IFERROR(AW150/AV150-1,"n/a")</f>
        <v>4.789793809028553E-2</v>
      </c>
      <c r="AX157" s="180">
        <f t="shared" si="862"/>
        <v>-0.17736357165669014</v>
      </c>
    </row>
    <row r="158" spans="2:51" s="1" customFormat="1" x14ac:dyDescent="0.2">
      <c r="B158" s="30" t="s">
        <v>223</v>
      </c>
      <c r="H158" s="42"/>
      <c r="I158" s="42"/>
      <c r="J158" s="42"/>
      <c r="K158" s="42"/>
      <c r="L158" s="173">
        <f t="shared" si="852"/>
        <v>2.2826743242111105</v>
      </c>
      <c r="M158" s="173">
        <f t="shared" si="852"/>
        <v>1.6909871593173387</v>
      </c>
      <c r="N158" s="173">
        <f t="shared" si="852"/>
        <v>1.228059511009608</v>
      </c>
      <c r="O158" s="173">
        <f t="shared" si="852"/>
        <v>0.90889191608939801</v>
      </c>
      <c r="P158" s="173">
        <f t="shared" si="852"/>
        <v>0.4391123038701894</v>
      </c>
      <c r="Q158" s="173">
        <f t="shared" si="852"/>
        <v>0.67260653211903199</v>
      </c>
      <c r="R158" s="173">
        <f t="shared" si="852"/>
        <v>0.83884157835534645</v>
      </c>
      <c r="S158" s="173">
        <f t="shared" si="852"/>
        <v>0.91007525100974562</v>
      </c>
      <c r="T158" s="173">
        <f t="shared" si="852"/>
        <v>1.3642034723615666</v>
      </c>
      <c r="U158" s="173">
        <f t="shared" si="852"/>
        <v>0.55507914722833318</v>
      </c>
      <c r="V158" s="173">
        <f t="shared" si="853"/>
        <v>0.33140528375095668</v>
      </c>
      <c r="W158" s="173">
        <f t="shared" si="853"/>
        <v>0.14625766601096002</v>
      </c>
      <c r="X158" s="173">
        <f t="shared" si="853"/>
        <v>0.30225203403598488</v>
      </c>
      <c r="Y158" s="173">
        <f t="shared" si="853"/>
        <v>0.44567833394894607</v>
      </c>
      <c r="Z158" s="173">
        <f t="shared" si="853"/>
        <v>0.68573932677207217</v>
      </c>
      <c r="AA158" s="173">
        <f t="shared" si="853"/>
        <v>0.45690047416439783</v>
      </c>
      <c r="AB158" s="173">
        <f t="shared" si="853"/>
        <v>0.527911063102805</v>
      </c>
      <c r="AC158" s="173">
        <f t="shared" si="853"/>
        <v>0.53426754073777327</v>
      </c>
      <c r="AD158" s="173">
        <f t="shared" si="853"/>
        <v>0.4045155466976007</v>
      </c>
      <c r="AE158" s="173">
        <f t="shared" si="853"/>
        <v>0.62370396533193451</v>
      </c>
      <c r="AF158" s="173">
        <f t="shared" si="853"/>
        <v>0.55862133883411791</v>
      </c>
      <c r="AG158" s="173">
        <f t="shared" si="853"/>
        <v>0.30033002911185513</v>
      </c>
      <c r="AH158" s="173">
        <f t="shared" si="853"/>
        <v>0.2357259856916547</v>
      </c>
      <c r="AI158" s="173">
        <f t="shared" ref="AI158:AJ158" si="863">+IFERROR(AI151/AE151-1,"n/a")</f>
        <v>8.3118694022004558E-2</v>
      </c>
      <c r="AJ158" s="173">
        <f t="shared" si="863"/>
        <v>4.9375963301480974E-2</v>
      </c>
      <c r="AK158" s="173">
        <f t="shared" si="855"/>
        <v>5.0672055704793495E-2</v>
      </c>
      <c r="AL158" s="173">
        <f t="shared" si="856"/>
        <v>0.13948683756050162</v>
      </c>
      <c r="AM158" s="173">
        <f t="shared" si="857"/>
        <v>0.15873908610342546</v>
      </c>
      <c r="AQ158" s="173">
        <f t="shared" si="861"/>
        <v>6.5372309042788164</v>
      </c>
      <c r="AR158" s="173">
        <f t="shared" si="861"/>
        <v>1.2974015986292673</v>
      </c>
      <c r="AS158" s="173">
        <f t="shared" si="861"/>
        <v>0.76386616363453208</v>
      </c>
      <c r="AT158" s="173">
        <f t="shared" si="861"/>
        <v>0.43797884029196377</v>
      </c>
      <c r="AU158" s="173">
        <f t="shared" si="861"/>
        <v>0.47789901879097907</v>
      </c>
      <c r="AV158" s="173">
        <f t="shared" si="861"/>
        <v>0.52477331532428018</v>
      </c>
      <c r="AW158" s="173">
        <f t="shared" ref="AW158:AX158" si="864">+IFERROR(AW151/AV151-1,"n/a")</f>
        <v>0.25965215568650013</v>
      </c>
      <c r="AX158" s="173">
        <f t="shared" si="864"/>
        <v>0.10256229902198499</v>
      </c>
    </row>
    <row r="159" spans="2:51" s="1" customFormat="1" ht="13.5" x14ac:dyDescent="0.35">
      <c r="B159" s="20" t="s">
        <v>222</v>
      </c>
      <c r="H159" s="42"/>
      <c r="I159" s="42"/>
      <c r="J159" s="42"/>
      <c r="K159" s="42"/>
      <c r="L159" s="180" t="str">
        <f t="shared" si="852"/>
        <v>n/a</v>
      </c>
      <c r="M159" s="180" t="str">
        <f t="shared" si="852"/>
        <v>n/a</v>
      </c>
      <c r="N159" s="180" t="str">
        <f t="shared" si="852"/>
        <v>n/a</v>
      </c>
      <c r="O159" s="180" t="str">
        <f t="shared" si="852"/>
        <v>n/a</v>
      </c>
      <c r="P159" s="180" t="str">
        <f t="shared" si="852"/>
        <v>n/a</v>
      </c>
      <c r="Q159" s="180" t="str">
        <f t="shared" si="852"/>
        <v>n/a</v>
      </c>
      <c r="R159" s="180" t="str">
        <f t="shared" si="852"/>
        <v>n/a</v>
      </c>
      <c r="S159" s="180" t="str">
        <f t="shared" si="852"/>
        <v>n/a</v>
      </c>
      <c r="T159" s="180" t="str">
        <f t="shared" si="852"/>
        <v>n/a</v>
      </c>
      <c r="U159" s="180" t="str">
        <f t="shared" si="852"/>
        <v>n/a</v>
      </c>
      <c r="V159" s="180">
        <f t="shared" si="853"/>
        <v>-0.79096130053815727</v>
      </c>
      <c r="W159" s="180">
        <f t="shared" si="853"/>
        <v>-0.98475656928741362</v>
      </c>
      <c r="X159" s="180">
        <f t="shared" si="853"/>
        <v>-0.99144109701963534</v>
      </c>
      <c r="Y159" s="180">
        <f t="shared" si="853"/>
        <v>-0.9741032794511999</v>
      </c>
      <c r="Z159" s="180">
        <f t="shared" si="853"/>
        <v>-0.31307312914814589</v>
      </c>
      <c r="AA159" s="180">
        <f t="shared" si="853"/>
        <v>-0.28743020863943991</v>
      </c>
      <c r="AB159" s="180">
        <f t="shared" si="853"/>
        <v>-1</v>
      </c>
      <c r="AC159" s="180">
        <f t="shared" si="853"/>
        <v>-1</v>
      </c>
      <c r="AD159" s="180">
        <f t="shared" si="853"/>
        <v>-1</v>
      </c>
      <c r="AE159" s="180">
        <f t="shared" si="853"/>
        <v>-1</v>
      </c>
      <c r="AF159" s="180" t="str">
        <f t="shared" si="853"/>
        <v>n/a</v>
      </c>
      <c r="AG159" s="180" t="str">
        <f t="shared" si="853"/>
        <v>n/a</v>
      </c>
      <c r="AH159" s="180" t="str">
        <f t="shared" si="853"/>
        <v>n/a</v>
      </c>
      <c r="AI159" s="180" t="str">
        <f t="shared" ref="AI159:AJ159" si="865">+IFERROR(AI152/AE152-1,"n/a")</f>
        <v>n/a</v>
      </c>
      <c r="AJ159" s="180" t="str">
        <f t="shared" si="865"/>
        <v>n/a</v>
      </c>
      <c r="AK159" s="180" t="str">
        <f t="shared" si="855"/>
        <v>n/a</v>
      </c>
      <c r="AL159" s="180" t="str">
        <f t="shared" si="856"/>
        <v>n/a</v>
      </c>
      <c r="AM159" s="180" t="str">
        <f t="shared" si="857"/>
        <v>n/a</v>
      </c>
      <c r="AQ159" s="180">
        <f t="shared" si="861"/>
        <v>-1</v>
      </c>
      <c r="AR159" s="180" t="str">
        <f t="shared" si="861"/>
        <v>n/a</v>
      </c>
      <c r="AS159" s="180" t="str">
        <f t="shared" si="861"/>
        <v>n/a</v>
      </c>
      <c r="AT159" s="180">
        <f t="shared" si="861"/>
        <v>0.26004217594781531</v>
      </c>
      <c r="AU159" s="180">
        <f t="shared" si="861"/>
        <v>-0.97113325148687124</v>
      </c>
      <c r="AV159" s="180">
        <f t="shared" si="861"/>
        <v>-1</v>
      </c>
      <c r="AW159" s="180" t="str">
        <f t="shared" ref="AW159:AX159" si="866">+IFERROR(AW152/AV152-1,"n/a")</f>
        <v>n/a</v>
      </c>
      <c r="AX159" s="180" t="str">
        <f t="shared" si="866"/>
        <v>n/a</v>
      </c>
    </row>
    <row r="160" spans="2:51" s="1" customFormat="1" x14ac:dyDescent="0.2">
      <c r="B160" s="30" t="s">
        <v>379</v>
      </c>
      <c r="H160" s="42"/>
      <c r="I160" s="42"/>
      <c r="J160" s="42"/>
      <c r="K160" s="42"/>
      <c r="L160" s="173">
        <f t="shared" si="852"/>
        <v>2.2826743242111105</v>
      </c>
      <c r="M160" s="173">
        <f t="shared" si="852"/>
        <v>1.6909871593173387</v>
      </c>
      <c r="N160" s="173">
        <f t="shared" si="852"/>
        <v>1.228059511009608</v>
      </c>
      <c r="O160" s="173">
        <f t="shared" si="852"/>
        <v>0.90889191608939801</v>
      </c>
      <c r="P160" s="173">
        <f t="shared" si="852"/>
        <v>0.4391123038701894</v>
      </c>
      <c r="Q160" s="173">
        <f t="shared" si="852"/>
        <v>0.67260653211903199</v>
      </c>
      <c r="R160" s="173">
        <f t="shared" si="852"/>
        <v>0.89112061994573266</v>
      </c>
      <c r="S160" s="173">
        <f t="shared" si="852"/>
        <v>1.4065067364379868</v>
      </c>
      <c r="T160" s="173">
        <f t="shared" si="852"/>
        <v>2.1475839616676562</v>
      </c>
      <c r="U160" s="173">
        <f t="shared" si="852"/>
        <v>0.71567230831701178</v>
      </c>
      <c r="V160" s="173">
        <f t="shared" si="853"/>
        <v>0.30037804586837558</v>
      </c>
      <c r="W160" s="173">
        <f t="shared" si="853"/>
        <v>-8.7056069773849831E-2</v>
      </c>
      <c r="X160" s="173">
        <f t="shared" si="853"/>
        <v>-1.9726337426210994E-2</v>
      </c>
      <c r="Y160" s="173">
        <f t="shared" si="853"/>
        <v>0.31278161687412354</v>
      </c>
      <c r="Z160" s="173">
        <f t="shared" si="853"/>
        <v>0.6813006920832767</v>
      </c>
      <c r="AA160" s="173">
        <f t="shared" si="853"/>
        <v>0.45433671766802575</v>
      </c>
      <c r="AB160" s="173">
        <f t="shared" si="853"/>
        <v>0.52459086290042301</v>
      </c>
      <c r="AC160" s="173">
        <f t="shared" si="853"/>
        <v>0.53143454392432643</v>
      </c>
      <c r="AD160" s="173">
        <f t="shared" si="853"/>
        <v>0.40196544724799321</v>
      </c>
      <c r="AE160" s="173">
        <f t="shared" si="853"/>
        <v>0.62096377871220332</v>
      </c>
      <c r="AF160" s="173">
        <f t="shared" si="853"/>
        <v>0.55862133883411791</v>
      </c>
      <c r="AG160" s="173">
        <f t="shared" si="853"/>
        <v>0.30033002911185513</v>
      </c>
      <c r="AH160" s="173">
        <f t="shared" si="853"/>
        <v>0.2357259856916547</v>
      </c>
      <c r="AI160" s="173">
        <f t="shared" ref="AI160:AJ160" si="867">+IFERROR(AI153/AE153-1,"n/a")</f>
        <v>8.3118694022004558E-2</v>
      </c>
      <c r="AJ160" s="173">
        <f t="shared" si="867"/>
        <v>4.9375963301480974E-2</v>
      </c>
      <c r="AK160" s="173">
        <f t="shared" si="855"/>
        <v>5.0672055704793495E-2</v>
      </c>
      <c r="AL160" s="173">
        <f t="shared" si="856"/>
        <v>0.13948683756050162</v>
      </c>
      <c r="AM160" s="173">
        <f t="shared" si="857"/>
        <v>0.15873908610342546</v>
      </c>
      <c r="AQ160" s="173">
        <f t="shared" si="861"/>
        <v>6.5226022260497807</v>
      </c>
      <c r="AR160" s="173">
        <f t="shared" si="861"/>
        <v>1.2974015986292673</v>
      </c>
      <c r="AS160" s="173">
        <f t="shared" si="861"/>
        <v>0.95465286490465173</v>
      </c>
      <c r="AT160" s="173">
        <f t="shared" si="861"/>
        <v>0.42061107651418217</v>
      </c>
      <c r="AU160" s="173">
        <f t="shared" si="861"/>
        <v>0.35245025051067791</v>
      </c>
      <c r="AV160" s="173">
        <f t="shared" si="861"/>
        <v>0.52195577463234089</v>
      </c>
      <c r="AW160" s="173">
        <f t="shared" ref="AW160:AX160" si="868">+IFERROR(AW153/AV153-1,"n/a")</f>
        <v>0.25965215568650013</v>
      </c>
      <c r="AX160" s="173">
        <f t="shared" si="868"/>
        <v>0.10256229902198499</v>
      </c>
    </row>
    <row r="161" spans="2:50" s="1" customFormat="1" x14ac:dyDescent="0.2">
      <c r="B161" s="30"/>
      <c r="H161" s="42"/>
      <c r="I161" s="42"/>
      <c r="J161" s="42"/>
      <c r="K161" s="42"/>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Q161" s="173"/>
      <c r="AR161" s="173"/>
      <c r="AS161" s="173"/>
      <c r="AT161" s="173"/>
      <c r="AU161" s="173"/>
      <c r="AV161" s="173"/>
    </row>
    <row r="162" spans="2:50" s="1" customFormat="1" x14ac:dyDescent="0.2">
      <c r="B162" s="19" t="s">
        <v>261</v>
      </c>
      <c r="H162" s="42"/>
      <c r="I162" s="42"/>
      <c r="J162" s="42"/>
      <c r="K162" s="42"/>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Q162" s="173"/>
      <c r="AR162" s="173"/>
      <c r="AS162" s="173"/>
      <c r="AT162" s="173"/>
      <c r="AU162" s="173"/>
      <c r="AV162" s="173"/>
    </row>
    <row r="163" spans="2:50" s="1" customFormat="1" x14ac:dyDescent="0.2">
      <c r="B163" s="20" t="s">
        <v>225</v>
      </c>
      <c r="H163"/>
      <c r="I163" s="46">
        <f>+IFERROR(I149/H149-1,"n/a")</f>
        <v>1.1396552657702377</v>
      </c>
      <c r="J163" s="46">
        <f t="shared" ref="J163:J167" si="869">+IFERROR(J149/I149-1,"n/a")</f>
        <v>0.25440962111421905</v>
      </c>
      <c r="K163" s="46">
        <f t="shared" ref="K163:K167" si="870">+IFERROR(K149/J149-1,"n/a")</f>
        <v>0.70212884711404455</v>
      </c>
      <c r="L163" s="46">
        <f t="shared" ref="L163:L167" si="871">+IFERROR(L149/K149-1,"n/a")</f>
        <v>-0.22004757447981949</v>
      </c>
      <c r="M163" s="46">
        <f t="shared" ref="M163:M167" si="872">+IFERROR(M149/L149-1,"n/a")</f>
        <v>0.6378913153483905</v>
      </c>
      <c r="N163" s="46">
        <f t="shared" ref="N163:N167" si="873">+IFERROR(N149/M149-1,"n/a")</f>
        <v>3.7788656475657545E-2</v>
      </c>
      <c r="O163" s="46">
        <f t="shared" ref="O163:O167" si="874">+IFERROR(O149/N149-1,"n/a")</f>
        <v>0.44330834371980443</v>
      </c>
      <c r="P163" s="46">
        <f t="shared" ref="P163:P167" si="875">+IFERROR(P149/O149-1,"n/a")</f>
        <v>-0.4330091189991554</v>
      </c>
      <c r="Q163" s="46">
        <f t="shared" ref="Q163:Q167" si="876">+IFERROR(Q149/P149-1,"n/a")</f>
        <v>1.012773953210603</v>
      </c>
      <c r="R163" s="46">
        <f t="shared" ref="R163:R167" si="877">+IFERROR(R149/Q149-1,"n/a")</f>
        <v>0.12936925097365837</v>
      </c>
      <c r="S163" s="46">
        <f t="shared" ref="S163:S167" si="878">+IFERROR(S149/R149-1,"n/a")</f>
        <v>0.51559660054805678</v>
      </c>
      <c r="T163" s="46">
        <f t="shared" ref="T163:T167" si="879">+IFERROR(T149/S149-1,"n/a")</f>
        <v>-0.25422763744270871</v>
      </c>
      <c r="U163" s="46">
        <f t="shared" ref="U163:U167" si="880">+IFERROR(U149/T149-1,"n/a")</f>
        <v>0.28125549640909542</v>
      </c>
      <c r="V163" s="46">
        <f t="shared" ref="V163:V167" si="881">+IFERROR(V149/U149-1,"n/a")</f>
        <v>-7.4070739179220579E-3</v>
      </c>
      <c r="W163" s="46">
        <f t="shared" ref="W163:W167" si="882">+IFERROR(W149/V149-1,"n/a")</f>
        <v>0.24954759970971518</v>
      </c>
      <c r="X163" s="46">
        <f t="shared" ref="X163:X167" si="883">+IFERROR(X149/W149-1,"n/a")</f>
        <v>-0.1902597908468322</v>
      </c>
      <c r="Y163" s="46">
        <f t="shared" ref="Y163:Y167" si="884">+IFERROR(Y149/X149-1,"n/a")</f>
        <v>0.38627942676746474</v>
      </c>
      <c r="Z163" s="46">
        <f t="shared" ref="Z163:Z167" si="885">+IFERROR(Z149/Y149-1,"n/a")</f>
        <v>0.12922731102099649</v>
      </c>
      <c r="AA163" s="46">
        <f t="shared" ref="AA163:AA167" si="886">+IFERROR(AA149/Z149-1,"n/a")</f>
        <v>8.93403826016963E-2</v>
      </c>
      <c r="AB163" s="46">
        <f t="shared" ref="AB163:AB167" si="887">+IFERROR(AB149/AA149-1,"n/a")</f>
        <v>-0.12015994211308723</v>
      </c>
      <c r="AC163" s="46">
        <f t="shared" ref="AC163:AC167" si="888">+IFERROR(AC149/AB149-1,"n/a")</f>
        <v>0.39231529414493815</v>
      </c>
      <c r="AD163" s="46">
        <f t="shared" ref="AD163:AD167" si="889">+IFERROR(AD149/AC149-1,"n/a")</f>
        <v>4.6261957089361427E-2</v>
      </c>
      <c r="AE163" s="46">
        <f t="shared" ref="AE163:AH167" si="890">+IFERROR(AE149/AD149-1,"n/a")</f>
        <v>0.22646676381520736</v>
      </c>
      <c r="AF163" s="46">
        <f t="shared" si="890"/>
        <v>-0.12777187543874635</v>
      </c>
      <c r="AG163" s="46">
        <f t="shared" si="890"/>
        <v>0.15685850959539693</v>
      </c>
      <c r="AH163" s="46">
        <f t="shared" si="890"/>
        <v>4.7877807957208418E-3</v>
      </c>
      <c r="AI163" s="46">
        <f t="shared" ref="AI163:AJ167" si="891">+IFERROR(AI149/AH149-1,"n/a")</f>
        <v>0.14390797592747773</v>
      </c>
      <c r="AJ163" s="46">
        <f t="shared" si="891"/>
        <v>-0.17020813993771244</v>
      </c>
      <c r="AK163" s="46">
        <f t="shared" ref="AK163:AK167" si="892">+IFERROR(AK149/AJ149-1,"n/a")</f>
        <v>0.14435120849263061</v>
      </c>
      <c r="AL163" s="46">
        <f t="shared" ref="AL163:AL167" si="893">+IFERROR(AL149/AK149-1,"n/a")</f>
        <v>6.7341519648408177E-2</v>
      </c>
      <c r="AM163" s="46">
        <f t="shared" ref="AM163:AM167" si="894">+IFERROR(AM149/AL149-1,"n/a")</f>
        <v>0.1439079759274775</v>
      </c>
      <c r="AQ163" s="173"/>
      <c r="AR163" s="173"/>
      <c r="AS163" s="173"/>
      <c r="AT163" s="173"/>
      <c r="AU163" s="173"/>
      <c r="AV163" s="173"/>
    </row>
    <row r="164" spans="2:50" s="1" customFormat="1" ht="13.5" x14ac:dyDescent="0.35">
      <c r="B164" s="20" t="s">
        <v>226</v>
      </c>
      <c r="H164"/>
      <c r="I164" s="47">
        <f t="shared" ref="I164:I167" si="895">+IFERROR(I150/H150-1,"n/a")</f>
        <v>0.2227454214043918</v>
      </c>
      <c r="J164" s="47">
        <f t="shared" si="869"/>
        <v>0.17799487716433893</v>
      </c>
      <c r="K164" s="47">
        <f t="shared" si="870"/>
        <v>0.48527266472997144</v>
      </c>
      <c r="L164" s="47">
        <f t="shared" si="871"/>
        <v>8.8683174877945969E-3</v>
      </c>
      <c r="M164" s="47">
        <f t="shared" si="872"/>
        <v>0.37893563900199401</v>
      </c>
      <c r="N164" s="47">
        <f t="shared" si="873"/>
        <v>-2.4840357986961159E-2</v>
      </c>
      <c r="O164" s="47">
        <f t="shared" si="874"/>
        <v>0.37823881329805986</v>
      </c>
      <c r="P164" s="47">
        <f t="shared" si="875"/>
        <v>-5.1750997037142921E-2</v>
      </c>
      <c r="Q164" s="47">
        <f t="shared" si="876"/>
        <v>8.5649258335089407E-2</v>
      </c>
      <c r="R164" s="47">
        <f t="shared" si="877"/>
        <v>0.16994915761840912</v>
      </c>
      <c r="S164" s="47">
        <f t="shared" si="878"/>
        <v>0.27086053815516564</v>
      </c>
      <c r="T164" s="47">
        <f t="shared" si="879"/>
        <v>-0.2008545222124607</v>
      </c>
      <c r="U164" s="47">
        <f t="shared" si="880"/>
        <v>-0.34869877989057863</v>
      </c>
      <c r="V164" s="47">
        <f t="shared" si="881"/>
        <v>-0.48989718626815915</v>
      </c>
      <c r="W164" s="47">
        <f t="shared" si="882"/>
        <v>1.6809075054763905</v>
      </c>
      <c r="X164" s="47">
        <f t="shared" si="883"/>
        <v>0.64323763646486487</v>
      </c>
      <c r="Y164" s="47">
        <f t="shared" si="884"/>
        <v>0.13108623990972301</v>
      </c>
      <c r="Z164" s="47">
        <f t="shared" si="885"/>
        <v>0.15425923845055012</v>
      </c>
      <c r="AA164" s="47">
        <f t="shared" si="886"/>
        <v>0.33893187047886419</v>
      </c>
      <c r="AB164" s="47">
        <f t="shared" si="887"/>
        <v>1.8519469637906516E-2</v>
      </c>
      <c r="AC164" s="47">
        <f t="shared" si="888"/>
        <v>0.1700617450877997</v>
      </c>
      <c r="AD164" s="47">
        <f t="shared" si="889"/>
        <v>-6.2429549752893165E-2</v>
      </c>
      <c r="AE164" s="47">
        <f t="shared" si="890"/>
        <v>0.86760195146421415</v>
      </c>
      <c r="AF164" s="47">
        <f t="shared" si="890"/>
        <v>-0.23820865744371778</v>
      </c>
      <c r="AG164" s="47">
        <f t="shared" si="890"/>
        <v>1.2875158995964364E-2</v>
      </c>
      <c r="AH164" s="47">
        <f t="shared" si="890"/>
        <v>-0.19772793886937667</v>
      </c>
      <c r="AI164" s="47">
        <f t="shared" si="891"/>
        <v>-8.487361925801773E-2</v>
      </c>
      <c r="AJ164" s="47">
        <f t="shared" si="891"/>
        <v>-0.1489314255771409</v>
      </c>
      <c r="AK164" s="47">
        <f t="shared" si="892"/>
        <v>0.10672263877430432</v>
      </c>
      <c r="AL164" s="47">
        <f t="shared" si="893"/>
        <v>6.7341519648408177E-2</v>
      </c>
      <c r="AM164" s="47">
        <f t="shared" si="894"/>
        <v>0.1439079759274775</v>
      </c>
      <c r="AQ164" s="173"/>
      <c r="AR164" s="173"/>
      <c r="AS164" s="173"/>
      <c r="AT164" s="173"/>
      <c r="AU164" s="173"/>
      <c r="AV164" s="173"/>
    </row>
    <row r="165" spans="2:50" s="1" customFormat="1" x14ac:dyDescent="0.2">
      <c r="B165" s="30" t="s">
        <v>223</v>
      </c>
      <c r="H165"/>
      <c r="I165" s="46">
        <f t="shared" si="895"/>
        <v>0.95654930940543337</v>
      </c>
      <c r="J165" s="46">
        <f t="shared" si="869"/>
        <v>0.24487291836314329</v>
      </c>
      <c r="K165" s="46">
        <f t="shared" si="870"/>
        <v>0.67651874708295345</v>
      </c>
      <c r="L165" s="46">
        <f t="shared" si="871"/>
        <v>-0.19609715167630537</v>
      </c>
      <c r="M165" s="46">
        <f t="shared" si="872"/>
        <v>0.60389016642597348</v>
      </c>
      <c r="N165" s="46">
        <f t="shared" si="873"/>
        <v>3.071875915636868E-2</v>
      </c>
      <c r="O165" s="46">
        <f t="shared" si="874"/>
        <v>0.43635888882914808</v>
      </c>
      <c r="P165" s="46">
        <f t="shared" si="875"/>
        <v>-0.39393819503988148</v>
      </c>
      <c r="Q165" s="46">
        <f t="shared" si="876"/>
        <v>0.86411940329539916</v>
      </c>
      <c r="R165" s="46">
        <f t="shared" si="877"/>
        <v>0.13315862011274193</v>
      </c>
      <c r="S165" s="46">
        <f t="shared" si="878"/>
        <v>0.49200104969033798</v>
      </c>
      <c r="T165" s="46">
        <f t="shared" si="879"/>
        <v>-0.24984451633779126</v>
      </c>
      <c r="U165" s="46">
        <f t="shared" si="880"/>
        <v>0.22614370797483807</v>
      </c>
      <c r="V165" s="46">
        <f t="shared" si="881"/>
        <v>-2.9828560922420144E-2</v>
      </c>
      <c r="W165" s="46">
        <f t="shared" si="882"/>
        <v>0.2845206953706596</v>
      </c>
      <c r="X165" s="46">
        <f t="shared" si="883"/>
        <v>-0.14775575037853772</v>
      </c>
      <c r="Y165" s="46">
        <f t="shared" si="884"/>
        <v>0.36118765538289388</v>
      </c>
      <c r="Z165" s="46">
        <f t="shared" si="885"/>
        <v>0.13127250381957212</v>
      </c>
      <c r="AA165" s="46">
        <f t="shared" si="886"/>
        <v>0.11014720985537618</v>
      </c>
      <c r="AB165" s="46">
        <f t="shared" si="887"/>
        <v>-0.10621662868959658</v>
      </c>
      <c r="AC165" s="46">
        <f t="shared" si="888"/>
        <v>0.36685052352841652</v>
      </c>
      <c r="AD165" s="46">
        <f t="shared" si="889"/>
        <v>3.5601534268313362E-2</v>
      </c>
      <c r="AE165" s="46">
        <f t="shared" si="890"/>
        <v>0.28339656401998914</v>
      </c>
      <c r="AF165" s="46">
        <f t="shared" si="890"/>
        <v>-0.14204198267465173</v>
      </c>
      <c r="AG165" s="46">
        <f t="shared" si="890"/>
        <v>0.14033905270459157</v>
      </c>
      <c r="AH165" s="46">
        <f t="shared" si="890"/>
        <v>-1.5850054934462121E-2</v>
      </c>
      <c r="AI165" s="46">
        <f t="shared" si="891"/>
        <v>0.12490214370268715</v>
      </c>
      <c r="AJ165" s="46">
        <f t="shared" si="891"/>
        <v>-0.16877021339202813</v>
      </c>
      <c r="AK165" s="46">
        <f t="shared" si="892"/>
        <v>0.14174749432618272</v>
      </c>
      <c r="AL165" s="46">
        <f t="shared" si="893"/>
        <v>6.7341519648408177E-2</v>
      </c>
      <c r="AM165" s="46">
        <f t="shared" si="894"/>
        <v>0.1439079759274775</v>
      </c>
      <c r="AQ165" s="173"/>
      <c r="AR165" s="173"/>
      <c r="AS165" s="173"/>
      <c r="AT165" s="173"/>
      <c r="AU165" s="173"/>
      <c r="AV165" s="173"/>
    </row>
    <row r="166" spans="2:50" s="1" customFormat="1" ht="13.5" x14ac:dyDescent="0.35">
      <c r="B166" s="20" t="s">
        <v>222</v>
      </c>
      <c r="H166"/>
      <c r="I166" s="47" t="str">
        <f t="shared" si="895"/>
        <v>n/a</v>
      </c>
      <c r="J166" s="47" t="str">
        <f t="shared" si="869"/>
        <v>n/a</v>
      </c>
      <c r="K166" s="47" t="str">
        <f t="shared" si="870"/>
        <v>n/a</v>
      </c>
      <c r="L166" s="47" t="str">
        <f t="shared" si="871"/>
        <v>n/a</v>
      </c>
      <c r="M166" s="47" t="str">
        <f t="shared" si="872"/>
        <v>n/a</v>
      </c>
      <c r="N166" s="47" t="str">
        <f t="shared" si="873"/>
        <v>n/a</v>
      </c>
      <c r="O166" s="47" t="str">
        <f t="shared" si="874"/>
        <v>n/a</v>
      </c>
      <c r="P166" s="47" t="str">
        <f t="shared" si="875"/>
        <v>n/a</v>
      </c>
      <c r="Q166" s="47" t="str">
        <f t="shared" si="876"/>
        <v>n/a</v>
      </c>
      <c r="R166" s="47" t="str">
        <f t="shared" si="877"/>
        <v>n/a</v>
      </c>
      <c r="S166" s="47">
        <f t="shared" si="878"/>
        <v>12.63938119555422</v>
      </c>
      <c r="T166" s="47">
        <f t="shared" si="879"/>
        <v>-4.3620303595715448E-2</v>
      </c>
      <c r="U166" s="47">
        <f t="shared" si="880"/>
        <v>-0.61785513973277073</v>
      </c>
      <c r="V166" s="47">
        <f t="shared" si="881"/>
        <v>-0.95806528874256125</v>
      </c>
      <c r="W166" s="47">
        <f t="shared" si="882"/>
        <v>-5.3948730438959647E-3</v>
      </c>
      <c r="X166" s="47">
        <f t="shared" si="883"/>
        <v>-0.46301057890097286</v>
      </c>
      <c r="Y166" s="47">
        <f t="shared" si="884"/>
        <v>0.15625783797341364</v>
      </c>
      <c r="Z166" s="47">
        <f t="shared" si="885"/>
        <v>0.11234470518635375</v>
      </c>
      <c r="AA166" s="47">
        <f t="shared" si="886"/>
        <v>3.1733650078890951E-2</v>
      </c>
      <c r="AB166" s="47">
        <f t="shared" si="887"/>
        <v>-1</v>
      </c>
      <c r="AC166" s="47" t="str">
        <f t="shared" si="888"/>
        <v>n/a</v>
      </c>
      <c r="AD166" s="47" t="str">
        <f t="shared" si="889"/>
        <v>n/a</v>
      </c>
      <c r="AE166" s="47" t="str">
        <f t="shared" si="890"/>
        <v>n/a</v>
      </c>
      <c r="AF166" s="47" t="str">
        <f t="shared" si="890"/>
        <v>n/a</v>
      </c>
      <c r="AG166" s="47" t="str">
        <f t="shared" si="890"/>
        <v>n/a</v>
      </c>
      <c r="AH166" s="47" t="str">
        <f t="shared" si="890"/>
        <v>n/a</v>
      </c>
      <c r="AI166" s="47" t="str">
        <f t="shared" si="891"/>
        <v>n/a</v>
      </c>
      <c r="AJ166" s="47" t="str">
        <f t="shared" si="891"/>
        <v>n/a</v>
      </c>
      <c r="AK166" s="47" t="str">
        <f t="shared" si="892"/>
        <v>n/a</v>
      </c>
      <c r="AL166" s="47" t="str">
        <f t="shared" si="893"/>
        <v>n/a</v>
      </c>
      <c r="AM166" s="47" t="str">
        <f t="shared" si="894"/>
        <v>n/a</v>
      </c>
      <c r="AQ166" s="173"/>
      <c r="AR166" s="173"/>
      <c r="AS166" s="173"/>
      <c r="AT166" s="173"/>
      <c r="AU166" s="173"/>
      <c r="AV166" s="173"/>
    </row>
    <row r="167" spans="2:50" s="1" customFormat="1" x14ac:dyDescent="0.2">
      <c r="B167" s="30" t="s">
        <v>379</v>
      </c>
      <c r="H167"/>
      <c r="I167" s="46">
        <f t="shared" si="895"/>
        <v>0.95654930940543337</v>
      </c>
      <c r="J167" s="46">
        <f t="shared" si="869"/>
        <v>0.24487291836314329</v>
      </c>
      <c r="K167" s="46">
        <f t="shared" si="870"/>
        <v>0.67651874708295345</v>
      </c>
      <c r="L167" s="46">
        <f t="shared" si="871"/>
        <v>-0.19609715167630537</v>
      </c>
      <c r="M167" s="46">
        <f t="shared" si="872"/>
        <v>0.60389016642597348</v>
      </c>
      <c r="N167" s="46">
        <f t="shared" si="873"/>
        <v>3.071875915636868E-2</v>
      </c>
      <c r="O167" s="46">
        <f t="shared" si="874"/>
        <v>0.43635888882914808</v>
      </c>
      <c r="P167" s="46">
        <f t="shared" si="875"/>
        <v>-0.39393819503988148</v>
      </c>
      <c r="Q167" s="46">
        <f t="shared" si="876"/>
        <v>0.86411940329539916</v>
      </c>
      <c r="R167" s="46">
        <f t="shared" si="877"/>
        <v>0.16537479758375784</v>
      </c>
      <c r="S167" s="46">
        <f t="shared" si="878"/>
        <v>0.82780902786048438</v>
      </c>
      <c r="T167" s="46">
        <f t="shared" si="879"/>
        <v>-0.20730310529052709</v>
      </c>
      <c r="U167" s="46">
        <f t="shared" si="880"/>
        <v>1.6086648864440445E-2</v>
      </c>
      <c r="V167" s="46">
        <f t="shared" si="881"/>
        <v>-0.11671489092647347</v>
      </c>
      <c r="W167" s="46">
        <f t="shared" si="882"/>
        <v>0.28323233608843479</v>
      </c>
      <c r="X167" s="46">
        <f t="shared" si="883"/>
        <v>-0.14884160728771745</v>
      </c>
      <c r="Y167" s="46">
        <f t="shared" si="884"/>
        <v>0.36074233625557817</v>
      </c>
      <c r="Z167" s="46">
        <f t="shared" si="885"/>
        <v>0.1312375539872972</v>
      </c>
      <c r="AA167" s="46">
        <f t="shared" si="886"/>
        <v>0.11000483878935419</v>
      </c>
      <c r="AB167" s="46">
        <f t="shared" si="887"/>
        <v>-0.10772499061227148</v>
      </c>
      <c r="AC167" s="46">
        <f t="shared" si="888"/>
        <v>0.36685052352841652</v>
      </c>
      <c r="AD167" s="46">
        <f t="shared" si="889"/>
        <v>3.5601534268313362E-2</v>
      </c>
      <c r="AE167" s="46">
        <f t="shared" si="890"/>
        <v>0.28339656401998914</v>
      </c>
      <c r="AF167" s="46">
        <f t="shared" si="890"/>
        <v>-0.14204198267465173</v>
      </c>
      <c r="AG167" s="46">
        <f t="shared" si="890"/>
        <v>0.14033905270459157</v>
      </c>
      <c r="AH167" s="46">
        <f t="shared" si="890"/>
        <v>-1.5850054934462121E-2</v>
      </c>
      <c r="AI167" s="46">
        <f t="shared" si="891"/>
        <v>0.12490214370268715</v>
      </c>
      <c r="AJ167" s="46">
        <f t="shared" si="891"/>
        <v>-0.16877021339202813</v>
      </c>
      <c r="AK167" s="46">
        <f t="shared" si="892"/>
        <v>0.14174749432618272</v>
      </c>
      <c r="AL167" s="46">
        <f t="shared" si="893"/>
        <v>6.7341519648408177E-2</v>
      </c>
      <c r="AM167" s="46">
        <f t="shared" si="894"/>
        <v>0.1439079759274775</v>
      </c>
      <c r="AQ167" s="173"/>
      <c r="AR167" s="173"/>
      <c r="AS167" s="173"/>
      <c r="AT167" s="173"/>
      <c r="AU167" s="173"/>
      <c r="AV167" s="173"/>
    </row>
    <row r="168" spans="2:50" x14ac:dyDescent="0.2">
      <c r="B168" s="181"/>
    </row>
    <row r="169" spans="2:50" x14ac:dyDescent="0.2">
      <c r="B169" s="24" t="s">
        <v>371</v>
      </c>
    </row>
    <row r="170" spans="2:50" x14ac:dyDescent="0.2">
      <c r="B170" s="184" t="s">
        <v>225</v>
      </c>
      <c r="H170" s="14">
        <f t="shared" ref="H170:AE170" si="896">+IFERROR(H297*(H$224*1000),"n/a")</f>
        <v>0</v>
      </c>
      <c r="I170" s="14">
        <f t="shared" si="896"/>
        <v>0</v>
      </c>
      <c r="J170" s="14">
        <f t="shared" si="896"/>
        <v>0</v>
      </c>
      <c r="K170" s="14">
        <f t="shared" si="896"/>
        <v>0</v>
      </c>
      <c r="L170" s="14">
        <f t="shared" si="896"/>
        <v>0</v>
      </c>
      <c r="M170" s="14">
        <f t="shared" si="896"/>
        <v>0</v>
      </c>
      <c r="N170" s="14">
        <f t="shared" si="896"/>
        <v>0</v>
      </c>
      <c r="O170" s="14">
        <f t="shared" si="896"/>
        <v>0</v>
      </c>
      <c r="P170" s="14">
        <f t="shared" si="896"/>
        <v>0</v>
      </c>
      <c r="Q170" s="14">
        <f t="shared" si="896"/>
        <v>0</v>
      </c>
      <c r="R170" s="14">
        <f t="shared" si="896"/>
        <v>0</v>
      </c>
      <c r="S170" s="14">
        <f t="shared" si="896"/>
        <v>0</v>
      </c>
      <c r="T170" s="14">
        <f t="shared" si="896"/>
        <v>0</v>
      </c>
      <c r="U170" s="14">
        <f t="shared" si="896"/>
        <v>0</v>
      </c>
      <c r="V170" s="14">
        <f t="shared" si="896"/>
        <v>0</v>
      </c>
      <c r="W170" s="14">
        <f t="shared" si="896"/>
        <v>0</v>
      </c>
      <c r="X170" s="14">
        <f t="shared" si="896"/>
        <v>0</v>
      </c>
      <c r="Y170" s="14">
        <f t="shared" si="896"/>
        <v>0</v>
      </c>
      <c r="Z170" s="14">
        <f t="shared" si="896"/>
        <v>0</v>
      </c>
      <c r="AA170" s="14">
        <f t="shared" si="896"/>
        <v>0</v>
      </c>
      <c r="AB170" s="14">
        <f t="shared" si="896"/>
        <v>0</v>
      </c>
      <c r="AC170" s="14">
        <f t="shared" si="896"/>
        <v>0</v>
      </c>
      <c r="AD170" s="14">
        <f t="shared" si="896"/>
        <v>0</v>
      </c>
      <c r="AE170" s="14">
        <f t="shared" si="896"/>
        <v>0</v>
      </c>
      <c r="AF170" s="14">
        <f t="shared" ref="AF170:AG170" si="897">+IFERROR(AF297*(AF$224*1000),"n/a")</f>
        <v>0</v>
      </c>
      <c r="AG170" s="14">
        <f t="shared" si="897"/>
        <v>0</v>
      </c>
      <c r="AH170" s="14">
        <f t="shared" ref="AH170" si="898">+IFERROR(AH297*(AH$224*1000),"n/a")</f>
        <v>0</v>
      </c>
      <c r="AI170" s="14">
        <f t="shared" ref="AI170" si="899">+IFERROR(AI297*(AI$224*1000),"n/a")</f>
        <v>0</v>
      </c>
      <c r="AJ170" s="14">
        <f t="shared" ref="AJ170:AM170" si="900">+IFERROR(AJ297*(AJ$224*1000),"n/a")</f>
        <v>0</v>
      </c>
      <c r="AK170" s="14">
        <f t="shared" si="900"/>
        <v>0</v>
      </c>
      <c r="AL170" s="14">
        <f t="shared" si="900"/>
        <v>0</v>
      </c>
      <c r="AM170" s="14">
        <f t="shared" si="900"/>
        <v>0</v>
      </c>
      <c r="AO170" s="14">
        <f>+IFERROR(AO297*(AO$224*1000),"n/a")</f>
        <v>0</v>
      </c>
      <c r="AP170" s="14">
        <f>+IFERROR(AP297*(AP$224*1000),"n/a")</f>
        <v>0</v>
      </c>
      <c r="AQ170" s="14">
        <f>+SUM(H170:K170)</f>
        <v>0</v>
      </c>
      <c r="AR170" s="14">
        <f>+SUM(L170:O170)</f>
        <v>0</v>
      </c>
      <c r="AS170" s="14">
        <f>+SUM(P170:S170)</f>
        <v>0</v>
      </c>
      <c r="AT170" s="14">
        <f>+SUM(T170:W170)</f>
        <v>0</v>
      </c>
      <c r="AU170" s="14">
        <f>+SUM(X170:AA170)</f>
        <v>0</v>
      </c>
      <c r="AV170" s="14">
        <f>+SUM(AB170:AE170)</f>
        <v>0</v>
      </c>
      <c r="AW170" s="10">
        <f>+SUM(AF170:AI170)</f>
        <v>0</v>
      </c>
      <c r="AX170" s="14">
        <f>+SUM(AJ170:AM170)</f>
        <v>0</v>
      </c>
    </row>
    <row r="171" spans="2:50" ht="13.5" x14ac:dyDescent="0.35">
      <c r="B171" s="184" t="s">
        <v>226</v>
      </c>
      <c r="H171" s="15">
        <f t="shared" ref="H171:AE171" si="901">+IFERROR(H298*(H$224*1000),"n/a")</f>
        <v>0</v>
      </c>
      <c r="I171" s="15">
        <f t="shared" si="901"/>
        <v>0</v>
      </c>
      <c r="J171" s="15">
        <f t="shared" si="901"/>
        <v>0</v>
      </c>
      <c r="K171" s="15">
        <f t="shared" si="901"/>
        <v>0</v>
      </c>
      <c r="L171" s="15">
        <f t="shared" si="901"/>
        <v>0</v>
      </c>
      <c r="M171" s="15">
        <f t="shared" si="901"/>
        <v>0</v>
      </c>
      <c r="N171" s="15">
        <f t="shared" si="901"/>
        <v>0</v>
      </c>
      <c r="O171" s="15">
        <f t="shared" si="901"/>
        <v>0</v>
      </c>
      <c r="P171" s="15">
        <f t="shared" si="901"/>
        <v>0</v>
      </c>
      <c r="Q171" s="15">
        <f t="shared" si="901"/>
        <v>0</v>
      </c>
      <c r="R171" s="15">
        <f t="shared" si="901"/>
        <v>0</v>
      </c>
      <c r="S171" s="15">
        <f t="shared" si="901"/>
        <v>574.94117647058818</v>
      </c>
      <c r="T171" s="15">
        <f t="shared" si="901"/>
        <v>1578.5665992781244</v>
      </c>
      <c r="U171" s="15">
        <f t="shared" si="901"/>
        <v>2126.4871079135564</v>
      </c>
      <c r="V171" s="15">
        <f t="shared" si="901"/>
        <v>3027.6694506243834</v>
      </c>
      <c r="W171" s="15">
        <f t="shared" si="901"/>
        <v>3519.1812643357771</v>
      </c>
      <c r="X171" s="15">
        <f t="shared" si="901"/>
        <v>3611.2929365252403</v>
      </c>
      <c r="Y171" s="15">
        <f t="shared" si="901"/>
        <v>3976.5272293519715</v>
      </c>
      <c r="Z171" s="15">
        <f t="shared" si="901"/>
        <v>4437.0809335587037</v>
      </c>
      <c r="AA171" s="15">
        <f t="shared" si="901"/>
        <v>4900</v>
      </c>
      <c r="AB171" s="15">
        <f t="shared" si="901"/>
        <v>5418.6757051778295</v>
      </c>
      <c r="AC171" s="15">
        <f t="shared" si="901"/>
        <v>5744.3168131018429</v>
      </c>
      <c r="AD171" s="15">
        <f t="shared" si="901"/>
        <v>6311.441280872139</v>
      </c>
      <c r="AE171" s="15">
        <f t="shared" si="901"/>
        <v>6409.6165192835188</v>
      </c>
      <c r="AF171" s="15">
        <f t="shared" ref="AF171:AG171" si="902">+IFERROR(AF298*(AF$224*1000),"n/a")</f>
        <v>6185.6573766827787</v>
      </c>
      <c r="AG171" s="15">
        <f t="shared" si="902"/>
        <v>6785.4742354765531</v>
      </c>
      <c r="AH171" s="15">
        <f t="shared" ref="AH171" si="903">+IFERROR(AH298*(AH$224*1000),"n/a")</f>
        <v>7100.3714409811582</v>
      </c>
      <c r="AI171" s="15">
        <f t="shared" ref="AI171" si="904">+IFERROR(AI298*(AI$224*1000),"n/a")</f>
        <v>7050.5781712118705</v>
      </c>
      <c r="AJ171" s="15">
        <f t="shared" ref="AJ171:AM171" si="905">+IFERROR(AJ298*(AJ$224*1000),"n/a")</f>
        <v>6804.2231143510571</v>
      </c>
      <c r="AK171" s="15">
        <f t="shared" si="905"/>
        <v>7464.0216590242089</v>
      </c>
      <c r="AL171" s="15">
        <f t="shared" si="905"/>
        <v>7810.4085850792744</v>
      </c>
      <c r="AM171" s="15">
        <f t="shared" si="905"/>
        <v>7755.6359883330588</v>
      </c>
      <c r="AO171" s="15">
        <f>+IFERROR(AO298*(AO$224*1000),"n/a")</f>
        <v>0</v>
      </c>
      <c r="AP171" s="15">
        <f>+IFERROR(AP298*(AP$224*1000),"n/a")</f>
        <v>0</v>
      </c>
      <c r="AQ171" s="15">
        <f>+SUM(H171:K171)</f>
        <v>0</v>
      </c>
      <c r="AR171" s="15">
        <f>+SUM(L171:O171)</f>
        <v>0</v>
      </c>
      <c r="AS171" s="15">
        <f>+SUM(P171:S171)</f>
        <v>574.94117647058818</v>
      </c>
      <c r="AT171" s="15">
        <f>+SUM(T171:W171)</f>
        <v>10251.904422151842</v>
      </c>
      <c r="AU171" s="15">
        <f>+SUM(X171:AA171)</f>
        <v>16924.901099435916</v>
      </c>
      <c r="AV171" s="15">
        <f>+SUM(AB171:AE171)</f>
        <v>23884.050318435329</v>
      </c>
      <c r="AW171" s="25">
        <f>+SUM(AF171:AI171)</f>
        <v>27122.081224352361</v>
      </c>
      <c r="AX171" s="36">
        <f t="shared" ref="AX171:AX172" si="906">+SUM(AJ171:AM171)</f>
        <v>29834.289346787598</v>
      </c>
    </row>
    <row r="172" spans="2:50" s="1" customFormat="1" x14ac:dyDescent="0.2">
      <c r="B172" s="38" t="s">
        <v>391</v>
      </c>
      <c r="H172" s="48">
        <f>+IFERROR(H170+H171,"n/a")</f>
        <v>0</v>
      </c>
      <c r="I172" s="48">
        <f t="shared" ref="I172:AE172" si="907">+IFERROR(I170+I171,"n/a")</f>
        <v>0</v>
      </c>
      <c r="J172" s="48">
        <f t="shared" si="907"/>
        <v>0</v>
      </c>
      <c r="K172" s="48">
        <f t="shared" si="907"/>
        <v>0</v>
      </c>
      <c r="L172" s="48">
        <f t="shared" si="907"/>
        <v>0</v>
      </c>
      <c r="M172" s="48">
        <f t="shared" si="907"/>
        <v>0</v>
      </c>
      <c r="N172" s="48">
        <f t="shared" si="907"/>
        <v>0</v>
      </c>
      <c r="O172" s="48">
        <f t="shared" si="907"/>
        <v>0</v>
      </c>
      <c r="P172" s="48">
        <f t="shared" si="907"/>
        <v>0</v>
      </c>
      <c r="Q172" s="48">
        <f t="shared" si="907"/>
        <v>0</v>
      </c>
      <c r="R172" s="48">
        <f t="shared" si="907"/>
        <v>0</v>
      </c>
      <c r="S172" s="48">
        <f t="shared" si="907"/>
        <v>574.94117647058818</v>
      </c>
      <c r="T172" s="48">
        <f t="shared" si="907"/>
        <v>1578.5665992781244</v>
      </c>
      <c r="U172" s="48">
        <f t="shared" si="907"/>
        <v>2126.4871079135564</v>
      </c>
      <c r="V172" s="48">
        <f t="shared" si="907"/>
        <v>3027.6694506243834</v>
      </c>
      <c r="W172" s="48">
        <f t="shared" si="907"/>
        <v>3519.1812643357771</v>
      </c>
      <c r="X172" s="48">
        <f t="shared" si="907"/>
        <v>3611.2929365252403</v>
      </c>
      <c r="Y172" s="48">
        <f t="shared" si="907"/>
        <v>3976.5272293519715</v>
      </c>
      <c r="Z172" s="48">
        <f t="shared" si="907"/>
        <v>4437.0809335587037</v>
      </c>
      <c r="AA172" s="48">
        <f t="shared" si="907"/>
        <v>4900</v>
      </c>
      <c r="AB172" s="48">
        <f t="shared" si="907"/>
        <v>5418.6757051778295</v>
      </c>
      <c r="AC172" s="48">
        <f t="shared" si="907"/>
        <v>5744.3168131018429</v>
      </c>
      <c r="AD172" s="48">
        <f t="shared" si="907"/>
        <v>6311.441280872139</v>
      </c>
      <c r="AE172" s="48">
        <f t="shared" si="907"/>
        <v>6409.6165192835188</v>
      </c>
      <c r="AF172" s="48">
        <f t="shared" ref="AF172:AG172" si="908">+IFERROR(AF170+AF171,"n/a")</f>
        <v>6185.6573766827787</v>
      </c>
      <c r="AG172" s="48">
        <f t="shared" si="908"/>
        <v>6785.4742354765531</v>
      </c>
      <c r="AH172" s="48">
        <f t="shared" ref="AH172" si="909">+IFERROR(AH170+AH171,"n/a")</f>
        <v>7100.3714409811582</v>
      </c>
      <c r="AI172" s="48">
        <f t="shared" ref="AI172:AJ172" si="910">+IFERROR(AI170+AI171,"n/a")</f>
        <v>7050.5781712118705</v>
      </c>
      <c r="AJ172" s="48">
        <f t="shared" si="910"/>
        <v>6804.2231143510571</v>
      </c>
      <c r="AK172" s="48">
        <f t="shared" ref="AK172:AM172" si="911">+IFERROR(AK170+AK171,"n/a")</f>
        <v>7464.0216590242089</v>
      </c>
      <c r="AL172" s="48">
        <f t="shared" si="911"/>
        <v>7810.4085850792744</v>
      </c>
      <c r="AM172" s="48">
        <f t="shared" si="911"/>
        <v>7755.6359883330588</v>
      </c>
      <c r="AO172" s="48">
        <f>+IFERROR(AO170+AO171,"n/a")</f>
        <v>0</v>
      </c>
      <c r="AP172" s="48">
        <f>+IFERROR(AP170+AP171,"n/a")</f>
        <v>0</v>
      </c>
      <c r="AQ172" s="48">
        <f>+SUM(H172:K172)</f>
        <v>0</v>
      </c>
      <c r="AR172" s="48">
        <f>+SUM(L172:O172)</f>
        <v>0</v>
      </c>
      <c r="AS172" s="48">
        <f>+SUM(P172:S172)</f>
        <v>574.94117647058818</v>
      </c>
      <c r="AT172" s="48">
        <f>+SUM(T172:W172)</f>
        <v>10251.904422151842</v>
      </c>
      <c r="AU172" s="48">
        <f>+SUM(X172:AA172)</f>
        <v>16924.901099435916</v>
      </c>
      <c r="AV172" s="48">
        <f>+SUM(AB172:AE172)</f>
        <v>23884.050318435329</v>
      </c>
      <c r="AW172" s="42">
        <f>+SUM(AF172:AI172)</f>
        <v>27122.081224352361</v>
      </c>
      <c r="AX172" s="42">
        <f t="shared" si="906"/>
        <v>29834.289346787598</v>
      </c>
    </row>
    <row r="173" spans="2:50" s="1" customFormat="1" x14ac:dyDescent="0.2">
      <c r="B173" s="3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row>
    <row r="174" spans="2:50" s="1" customFormat="1" x14ac:dyDescent="0.2">
      <c r="B174" s="19" t="s">
        <v>85</v>
      </c>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row>
    <row r="175" spans="2:50" s="1" customFormat="1" x14ac:dyDescent="0.2">
      <c r="B175" s="20" t="s">
        <v>225</v>
      </c>
      <c r="H175" s="48"/>
      <c r="I175" s="48"/>
      <c r="J175" s="48"/>
      <c r="K175" s="48"/>
      <c r="L175" s="173" t="str">
        <f>+IFERROR(L170/H170-1,"n/a")</f>
        <v>n/a</v>
      </c>
      <c r="M175" s="173" t="str">
        <f t="shared" ref="M175:AH177" si="912">+IFERROR(M170/I170-1,"n/a")</f>
        <v>n/a</v>
      </c>
      <c r="N175" s="173" t="str">
        <f t="shared" si="912"/>
        <v>n/a</v>
      </c>
      <c r="O175" s="173" t="str">
        <f t="shared" si="912"/>
        <v>n/a</v>
      </c>
      <c r="P175" s="173" t="str">
        <f t="shared" si="912"/>
        <v>n/a</v>
      </c>
      <c r="Q175" s="173" t="str">
        <f t="shared" si="912"/>
        <v>n/a</v>
      </c>
      <c r="R175" s="173" t="str">
        <f t="shared" si="912"/>
        <v>n/a</v>
      </c>
      <c r="S175" s="173" t="str">
        <f t="shared" si="912"/>
        <v>n/a</v>
      </c>
      <c r="T175" s="173" t="str">
        <f t="shared" si="912"/>
        <v>n/a</v>
      </c>
      <c r="U175" s="173" t="str">
        <f t="shared" si="912"/>
        <v>n/a</v>
      </c>
      <c r="V175" s="173" t="str">
        <f t="shared" si="912"/>
        <v>n/a</v>
      </c>
      <c r="W175" s="173" t="str">
        <f t="shared" si="912"/>
        <v>n/a</v>
      </c>
      <c r="X175" s="173" t="str">
        <f t="shared" si="912"/>
        <v>n/a</v>
      </c>
      <c r="Y175" s="173" t="str">
        <f t="shared" si="912"/>
        <v>n/a</v>
      </c>
      <c r="Z175" s="173" t="str">
        <f t="shared" si="912"/>
        <v>n/a</v>
      </c>
      <c r="AA175" s="173" t="str">
        <f t="shared" si="912"/>
        <v>n/a</v>
      </c>
      <c r="AB175" s="173" t="str">
        <f t="shared" si="912"/>
        <v>n/a</v>
      </c>
      <c r="AC175" s="173" t="str">
        <f t="shared" si="912"/>
        <v>n/a</v>
      </c>
      <c r="AD175" s="173" t="str">
        <f t="shared" si="912"/>
        <v>n/a</v>
      </c>
      <c r="AE175" s="173" t="str">
        <f t="shared" si="912"/>
        <v>n/a</v>
      </c>
      <c r="AF175" s="173" t="str">
        <f t="shared" si="912"/>
        <v>n/a</v>
      </c>
      <c r="AG175" s="173" t="str">
        <f t="shared" si="912"/>
        <v>n/a</v>
      </c>
      <c r="AH175" s="173" t="str">
        <f t="shared" si="912"/>
        <v>n/a</v>
      </c>
      <c r="AI175" s="173" t="str">
        <f t="shared" ref="AI175:AJ177" si="913">+IFERROR(AI170/AE170-1,"n/a")</f>
        <v>n/a</v>
      </c>
      <c r="AJ175" s="173" t="str">
        <f t="shared" si="913"/>
        <v>n/a</v>
      </c>
      <c r="AK175" s="173" t="str">
        <f t="shared" ref="AK175:AK177" si="914">+IFERROR(AK170/AG170-1,"n/a")</f>
        <v>n/a</v>
      </c>
      <c r="AL175" s="173" t="str">
        <f t="shared" ref="AL175:AL177" si="915">+IFERROR(AL170/AH170-1,"n/a")</f>
        <v>n/a</v>
      </c>
      <c r="AM175" s="173" t="str">
        <f t="shared" ref="AM175:AM177" si="916">+IFERROR(AM170/AI170-1,"n/a")</f>
        <v>n/a</v>
      </c>
      <c r="AP175" s="173" t="str">
        <f>+IFERROR(AP170/AO170-1,"n/a")</f>
        <v>n/a</v>
      </c>
      <c r="AQ175" s="173" t="str">
        <f t="shared" ref="AQ175:AV175" si="917">+IFERROR(AQ170/AP170-1,"n/a")</f>
        <v>n/a</v>
      </c>
      <c r="AR175" s="173" t="str">
        <f t="shared" si="917"/>
        <v>n/a</v>
      </c>
      <c r="AS175" s="173" t="str">
        <f t="shared" si="917"/>
        <v>n/a</v>
      </c>
      <c r="AT175" s="173" t="str">
        <f t="shared" si="917"/>
        <v>n/a</v>
      </c>
      <c r="AU175" s="173" t="str">
        <f t="shared" si="917"/>
        <v>n/a</v>
      </c>
      <c r="AV175" s="173" t="str">
        <f t="shared" si="917"/>
        <v>n/a</v>
      </c>
      <c r="AW175" s="173" t="str">
        <f t="shared" ref="AW175:AX175" si="918">+IFERROR(AW170/AV170-1,"n/a")</f>
        <v>n/a</v>
      </c>
      <c r="AX175" s="173" t="str">
        <f t="shared" si="918"/>
        <v>n/a</v>
      </c>
    </row>
    <row r="176" spans="2:50" s="1" customFormat="1" ht="13.5" x14ac:dyDescent="0.35">
      <c r="B176" s="20" t="s">
        <v>226</v>
      </c>
      <c r="H176" s="48"/>
      <c r="I176" s="48"/>
      <c r="J176" s="48"/>
      <c r="K176" s="48"/>
      <c r="L176" s="180" t="str">
        <f t="shared" ref="L176:L177" si="919">+IFERROR(L171/H171-1,"n/a")</f>
        <v>n/a</v>
      </c>
      <c r="M176" s="180" t="str">
        <f t="shared" si="912"/>
        <v>n/a</v>
      </c>
      <c r="N176" s="180" t="str">
        <f t="shared" si="912"/>
        <v>n/a</v>
      </c>
      <c r="O176" s="180" t="str">
        <f t="shared" si="912"/>
        <v>n/a</v>
      </c>
      <c r="P176" s="180" t="str">
        <f t="shared" si="912"/>
        <v>n/a</v>
      </c>
      <c r="Q176" s="180" t="str">
        <f t="shared" si="912"/>
        <v>n/a</v>
      </c>
      <c r="R176" s="180" t="str">
        <f t="shared" si="912"/>
        <v>n/a</v>
      </c>
      <c r="S176" s="180" t="str">
        <f t="shared" si="912"/>
        <v>n/a</v>
      </c>
      <c r="T176" s="180" t="str">
        <f t="shared" si="912"/>
        <v>n/a</v>
      </c>
      <c r="U176" s="180" t="str">
        <f t="shared" si="912"/>
        <v>n/a</v>
      </c>
      <c r="V176" s="180" t="str">
        <f t="shared" si="912"/>
        <v>n/a</v>
      </c>
      <c r="W176" s="180">
        <f t="shared" si="912"/>
        <v>5.1209414255891366</v>
      </c>
      <c r="X176" s="180">
        <f t="shared" si="912"/>
        <v>1.2877038815952888</v>
      </c>
      <c r="Y176" s="180">
        <f t="shared" si="912"/>
        <v>0.86999827770111304</v>
      </c>
      <c r="Z176" s="180">
        <f t="shared" si="912"/>
        <v>0.4655103557106155</v>
      </c>
      <c r="AA176" s="180">
        <f t="shared" si="912"/>
        <v>0.39236931318593027</v>
      </c>
      <c r="AB176" s="180">
        <f t="shared" si="912"/>
        <v>0.50048079743750717</v>
      </c>
      <c r="AC176" s="180">
        <f t="shared" si="912"/>
        <v>0.44455613699845231</v>
      </c>
      <c r="AD176" s="180">
        <f t="shared" si="912"/>
        <v>0.42243095751019544</v>
      </c>
      <c r="AE176" s="180">
        <f t="shared" si="912"/>
        <v>0.30808500393541194</v>
      </c>
      <c r="AF176" s="180">
        <f t="shared" si="912"/>
        <v>0.14154411764705865</v>
      </c>
      <c r="AG176" s="180">
        <f t="shared" si="912"/>
        <v>0.18125000000000013</v>
      </c>
      <c r="AH176" s="180">
        <f t="shared" si="912"/>
        <v>0.12500000000000022</v>
      </c>
      <c r="AI176" s="180">
        <f t="shared" si="913"/>
        <v>0.10000000000000009</v>
      </c>
      <c r="AJ176" s="180">
        <f t="shared" si="913"/>
        <v>0.10000000000000009</v>
      </c>
      <c r="AK176" s="180">
        <f t="shared" si="914"/>
        <v>0.10000000000000009</v>
      </c>
      <c r="AL176" s="180">
        <f t="shared" si="915"/>
        <v>0.10000000000000009</v>
      </c>
      <c r="AM176" s="180">
        <f t="shared" si="916"/>
        <v>0.10000000000000009</v>
      </c>
      <c r="AP176" s="180" t="str">
        <f t="shared" ref="AP176:AV177" si="920">+IFERROR(AP171/AO171-1,"n/a")</f>
        <v>n/a</v>
      </c>
      <c r="AQ176" s="180" t="str">
        <f t="shared" si="920"/>
        <v>n/a</v>
      </c>
      <c r="AR176" s="180" t="str">
        <f t="shared" si="920"/>
        <v>n/a</v>
      </c>
      <c r="AS176" s="180" t="str">
        <f t="shared" si="920"/>
        <v>n/a</v>
      </c>
      <c r="AT176" s="180">
        <f t="shared" si="920"/>
        <v>16.831223161098968</v>
      </c>
      <c r="AU176" s="180">
        <f t="shared" si="920"/>
        <v>0.65090313004336742</v>
      </c>
      <c r="AV176" s="180">
        <f t="shared" si="920"/>
        <v>0.41117813203832254</v>
      </c>
      <c r="AW176" s="180">
        <f t="shared" ref="AW176:AX176" si="921">+IFERROR(AW171/AV171-1,"n/a")</f>
        <v>0.13557293937777803</v>
      </c>
      <c r="AX176" s="180">
        <f t="shared" si="921"/>
        <v>0.10000000000000009</v>
      </c>
    </row>
    <row r="177" spans="2:50" s="1" customFormat="1" x14ac:dyDescent="0.2">
      <c r="B177" s="30" t="s">
        <v>378</v>
      </c>
      <c r="H177" s="48"/>
      <c r="I177" s="48"/>
      <c r="J177" s="48"/>
      <c r="K177" s="48"/>
      <c r="L177" s="173" t="str">
        <f t="shared" si="919"/>
        <v>n/a</v>
      </c>
      <c r="M177" s="173" t="str">
        <f t="shared" si="912"/>
        <v>n/a</v>
      </c>
      <c r="N177" s="173" t="str">
        <f t="shared" si="912"/>
        <v>n/a</v>
      </c>
      <c r="O177" s="173" t="str">
        <f t="shared" si="912"/>
        <v>n/a</v>
      </c>
      <c r="P177" s="173" t="str">
        <f t="shared" si="912"/>
        <v>n/a</v>
      </c>
      <c r="Q177" s="173" t="str">
        <f t="shared" si="912"/>
        <v>n/a</v>
      </c>
      <c r="R177" s="173" t="str">
        <f t="shared" si="912"/>
        <v>n/a</v>
      </c>
      <c r="S177" s="173" t="str">
        <f t="shared" si="912"/>
        <v>n/a</v>
      </c>
      <c r="T177" s="173" t="str">
        <f t="shared" si="912"/>
        <v>n/a</v>
      </c>
      <c r="U177" s="173" t="str">
        <f t="shared" si="912"/>
        <v>n/a</v>
      </c>
      <c r="V177" s="173" t="str">
        <f t="shared" si="912"/>
        <v>n/a</v>
      </c>
      <c r="W177" s="173">
        <f t="shared" si="912"/>
        <v>5.1209414255891366</v>
      </c>
      <c r="X177" s="173">
        <f t="shared" si="912"/>
        <v>1.2877038815952888</v>
      </c>
      <c r="Y177" s="173">
        <f t="shared" si="912"/>
        <v>0.86999827770111304</v>
      </c>
      <c r="Z177" s="173">
        <f t="shared" si="912"/>
        <v>0.4655103557106155</v>
      </c>
      <c r="AA177" s="173">
        <f t="shared" si="912"/>
        <v>0.39236931318593027</v>
      </c>
      <c r="AB177" s="173">
        <f t="shared" si="912"/>
        <v>0.50048079743750717</v>
      </c>
      <c r="AC177" s="173">
        <f t="shared" si="912"/>
        <v>0.44455613699845231</v>
      </c>
      <c r="AD177" s="173">
        <f t="shared" si="912"/>
        <v>0.42243095751019544</v>
      </c>
      <c r="AE177" s="173">
        <f t="shared" si="912"/>
        <v>0.30808500393541194</v>
      </c>
      <c r="AF177" s="173">
        <f t="shared" si="912"/>
        <v>0.14154411764705865</v>
      </c>
      <c r="AG177" s="173">
        <f t="shared" si="912"/>
        <v>0.18125000000000013</v>
      </c>
      <c r="AH177" s="173">
        <f t="shared" si="912"/>
        <v>0.12500000000000022</v>
      </c>
      <c r="AI177" s="173">
        <f t="shared" si="913"/>
        <v>0.10000000000000009</v>
      </c>
      <c r="AJ177" s="173">
        <f t="shared" si="913"/>
        <v>0.10000000000000009</v>
      </c>
      <c r="AK177" s="173">
        <f t="shared" si="914"/>
        <v>0.10000000000000009</v>
      </c>
      <c r="AL177" s="173">
        <f t="shared" si="915"/>
        <v>0.10000000000000009</v>
      </c>
      <c r="AM177" s="173">
        <f t="shared" si="916"/>
        <v>0.10000000000000009</v>
      </c>
      <c r="AP177" s="173" t="str">
        <f t="shared" si="920"/>
        <v>n/a</v>
      </c>
      <c r="AQ177" s="173" t="str">
        <f t="shared" si="920"/>
        <v>n/a</v>
      </c>
      <c r="AR177" s="173" t="str">
        <f t="shared" si="920"/>
        <v>n/a</v>
      </c>
      <c r="AS177" s="173" t="str">
        <f t="shared" si="920"/>
        <v>n/a</v>
      </c>
      <c r="AT177" s="173">
        <f t="shared" si="920"/>
        <v>16.831223161098968</v>
      </c>
      <c r="AU177" s="173">
        <f t="shared" si="920"/>
        <v>0.65090313004336742</v>
      </c>
      <c r="AV177" s="173">
        <f t="shared" si="920"/>
        <v>0.41117813203832254</v>
      </c>
      <c r="AW177" s="173">
        <f t="shared" ref="AW177:AX177" si="922">+IFERROR(AW172/AV172-1,"n/a")</f>
        <v>0.13557293937777803</v>
      </c>
      <c r="AX177" s="173">
        <f t="shared" si="922"/>
        <v>0.10000000000000009</v>
      </c>
    </row>
    <row r="178" spans="2:50" s="1" customFormat="1" x14ac:dyDescent="0.2">
      <c r="B178" s="30"/>
      <c r="H178" s="48"/>
      <c r="I178" s="48"/>
      <c r="J178" s="48"/>
      <c r="K178" s="48"/>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P178" s="173"/>
      <c r="AQ178" s="173"/>
      <c r="AR178" s="173"/>
      <c r="AS178" s="173"/>
      <c r="AT178" s="173"/>
      <c r="AU178" s="173"/>
      <c r="AV178" s="173"/>
      <c r="AW178" s="173"/>
      <c r="AX178" s="173"/>
    </row>
    <row r="179" spans="2:50" s="1" customFormat="1" x14ac:dyDescent="0.2">
      <c r="B179" s="19" t="s">
        <v>261</v>
      </c>
      <c r="H179" s="48"/>
      <c r="I179" s="48"/>
      <c r="J179" s="48"/>
      <c r="K179" s="48"/>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P179" s="173"/>
      <c r="AQ179" s="173"/>
      <c r="AR179" s="173"/>
      <c r="AS179" s="173"/>
      <c r="AT179" s="173"/>
      <c r="AU179" s="173"/>
      <c r="AV179" s="173"/>
      <c r="AW179" s="173"/>
      <c r="AX179" s="173"/>
    </row>
    <row r="180" spans="2:50" s="1" customFormat="1" x14ac:dyDescent="0.2">
      <c r="B180" s="20" t="s">
        <v>225</v>
      </c>
      <c r="H180" s="48"/>
      <c r="I180" s="173" t="str">
        <f>+IFERROR(I170/H170-1,"n/a")</f>
        <v>n/a</v>
      </c>
      <c r="J180" s="173" t="str">
        <f t="shared" ref="J180:AH180" si="923">+IFERROR(J170/I170-1,"n/a")</f>
        <v>n/a</v>
      </c>
      <c r="K180" s="173" t="str">
        <f t="shared" si="923"/>
        <v>n/a</v>
      </c>
      <c r="L180" s="173" t="str">
        <f t="shared" si="923"/>
        <v>n/a</v>
      </c>
      <c r="M180" s="173" t="str">
        <f t="shared" si="923"/>
        <v>n/a</v>
      </c>
      <c r="N180" s="173" t="str">
        <f t="shared" si="923"/>
        <v>n/a</v>
      </c>
      <c r="O180" s="173" t="str">
        <f t="shared" si="923"/>
        <v>n/a</v>
      </c>
      <c r="P180" s="173" t="str">
        <f t="shared" si="923"/>
        <v>n/a</v>
      </c>
      <c r="Q180" s="173" t="str">
        <f t="shared" si="923"/>
        <v>n/a</v>
      </c>
      <c r="R180" s="173" t="str">
        <f t="shared" si="923"/>
        <v>n/a</v>
      </c>
      <c r="S180" s="173" t="str">
        <f t="shared" si="923"/>
        <v>n/a</v>
      </c>
      <c r="T180" s="173" t="str">
        <f t="shared" si="923"/>
        <v>n/a</v>
      </c>
      <c r="U180" s="173" t="str">
        <f t="shared" si="923"/>
        <v>n/a</v>
      </c>
      <c r="V180" s="173" t="str">
        <f t="shared" si="923"/>
        <v>n/a</v>
      </c>
      <c r="W180" s="173" t="str">
        <f t="shared" si="923"/>
        <v>n/a</v>
      </c>
      <c r="X180" s="173" t="str">
        <f t="shared" si="923"/>
        <v>n/a</v>
      </c>
      <c r="Y180" s="173" t="str">
        <f t="shared" si="923"/>
        <v>n/a</v>
      </c>
      <c r="Z180" s="173" t="str">
        <f t="shared" si="923"/>
        <v>n/a</v>
      </c>
      <c r="AA180" s="173" t="str">
        <f t="shared" si="923"/>
        <v>n/a</v>
      </c>
      <c r="AB180" s="173" t="str">
        <f t="shared" si="923"/>
        <v>n/a</v>
      </c>
      <c r="AC180" s="173" t="str">
        <f t="shared" si="923"/>
        <v>n/a</v>
      </c>
      <c r="AD180" s="173" t="str">
        <f t="shared" si="923"/>
        <v>n/a</v>
      </c>
      <c r="AE180" s="173" t="str">
        <f t="shared" si="923"/>
        <v>n/a</v>
      </c>
      <c r="AF180" s="173" t="str">
        <f t="shared" si="923"/>
        <v>n/a</v>
      </c>
      <c r="AG180" s="173" t="str">
        <f t="shared" si="923"/>
        <v>n/a</v>
      </c>
      <c r="AH180" s="173" t="str">
        <f t="shared" si="923"/>
        <v>n/a</v>
      </c>
      <c r="AI180" s="173" t="str">
        <f t="shared" ref="AI180:AJ180" si="924">+IFERROR(AI170/AH170-1,"n/a")</f>
        <v>n/a</v>
      </c>
      <c r="AJ180" s="173" t="str">
        <f t="shared" si="924"/>
        <v>n/a</v>
      </c>
      <c r="AK180" s="173" t="str">
        <f t="shared" ref="AK180:AK182" si="925">+IFERROR(AK170/AJ170-1,"n/a")</f>
        <v>n/a</v>
      </c>
      <c r="AL180" s="173" t="str">
        <f t="shared" ref="AL180:AL182" si="926">+IFERROR(AL170/AK170-1,"n/a")</f>
        <v>n/a</v>
      </c>
      <c r="AM180" s="173" t="str">
        <f t="shared" ref="AM180:AM182" si="927">+IFERROR(AM170/AL170-1,"n/a")</f>
        <v>n/a</v>
      </c>
      <c r="AP180" s="173"/>
      <c r="AQ180" s="173"/>
      <c r="AR180" s="173"/>
      <c r="AS180" s="173"/>
      <c r="AT180" s="173"/>
      <c r="AU180" s="173"/>
      <c r="AV180" s="173"/>
      <c r="AW180" s="173"/>
      <c r="AX180" s="173"/>
    </row>
    <row r="181" spans="2:50" s="1" customFormat="1" ht="13.5" x14ac:dyDescent="0.35">
      <c r="B181" s="20" t="s">
        <v>226</v>
      </c>
      <c r="H181" s="48"/>
      <c r="I181" s="180" t="str">
        <f t="shared" ref="I181:AH181" si="928">+IFERROR(I171/H171-1,"n/a")</f>
        <v>n/a</v>
      </c>
      <c r="J181" s="180" t="str">
        <f t="shared" si="928"/>
        <v>n/a</v>
      </c>
      <c r="K181" s="180" t="str">
        <f t="shared" si="928"/>
        <v>n/a</v>
      </c>
      <c r="L181" s="180" t="str">
        <f t="shared" si="928"/>
        <v>n/a</v>
      </c>
      <c r="M181" s="180" t="str">
        <f t="shared" si="928"/>
        <v>n/a</v>
      </c>
      <c r="N181" s="180" t="str">
        <f t="shared" si="928"/>
        <v>n/a</v>
      </c>
      <c r="O181" s="180" t="str">
        <f t="shared" si="928"/>
        <v>n/a</v>
      </c>
      <c r="P181" s="180" t="str">
        <f t="shared" si="928"/>
        <v>n/a</v>
      </c>
      <c r="Q181" s="180" t="str">
        <f t="shared" si="928"/>
        <v>n/a</v>
      </c>
      <c r="R181" s="180" t="str">
        <f t="shared" si="928"/>
        <v>n/a</v>
      </c>
      <c r="S181" s="180" t="str">
        <f t="shared" si="928"/>
        <v>n/a</v>
      </c>
      <c r="T181" s="180">
        <f t="shared" si="928"/>
        <v>1.7456140973734517</v>
      </c>
      <c r="U181" s="180">
        <f t="shared" si="928"/>
        <v>0.34710002662288386</v>
      </c>
      <c r="V181" s="180">
        <f t="shared" si="928"/>
        <v>0.42378923406455038</v>
      </c>
      <c r="W181" s="180">
        <f t="shared" si="928"/>
        <v>0.16233998516913117</v>
      </c>
      <c r="X181" s="180">
        <f t="shared" si="928"/>
        <v>2.6174176682214334E-2</v>
      </c>
      <c r="Y181" s="180">
        <f t="shared" si="928"/>
        <v>0.10113671176677164</v>
      </c>
      <c r="Z181" s="180">
        <f t="shared" si="928"/>
        <v>0.11581806879310252</v>
      </c>
      <c r="AA181" s="180">
        <f t="shared" si="928"/>
        <v>0.10432964225198793</v>
      </c>
      <c r="AB181" s="180">
        <f t="shared" si="928"/>
        <v>0.10585218473016922</v>
      </c>
      <c r="AC181" s="180">
        <f t="shared" si="928"/>
        <v>6.0096068789067036E-2</v>
      </c>
      <c r="AD181" s="180">
        <f t="shared" si="928"/>
        <v>9.8727922958005809E-2</v>
      </c>
      <c r="AE181" s="180">
        <f t="shared" si="928"/>
        <v>1.5555121887755874E-2</v>
      </c>
      <c r="AF181" s="180">
        <f t="shared" si="928"/>
        <v>-3.4941114172267973E-2</v>
      </c>
      <c r="AG181" s="180">
        <f t="shared" si="928"/>
        <v>9.6968975529556634E-2</v>
      </c>
      <c r="AH181" s="180">
        <f t="shared" si="928"/>
        <v>4.6407545674291395E-2</v>
      </c>
      <c r="AI181" s="180">
        <f t="shared" ref="AI181:AJ181" si="929">+IFERROR(AI171/AH171-1,"n/a")</f>
        <v>-7.0127697097501773E-3</v>
      </c>
      <c r="AJ181" s="180">
        <f t="shared" si="929"/>
        <v>-3.4941114172267862E-2</v>
      </c>
      <c r="AK181" s="180">
        <f t="shared" si="925"/>
        <v>9.6968975529556634E-2</v>
      </c>
      <c r="AL181" s="180">
        <f t="shared" si="926"/>
        <v>4.6407545674291395E-2</v>
      </c>
      <c r="AM181" s="180">
        <f t="shared" si="927"/>
        <v>-7.0127697097500663E-3</v>
      </c>
      <c r="AP181" s="173"/>
      <c r="AQ181" s="173"/>
      <c r="AR181" s="173"/>
      <c r="AS181" s="173"/>
      <c r="AT181" s="173"/>
      <c r="AU181" s="173"/>
      <c r="AV181" s="173"/>
      <c r="AW181" s="173"/>
      <c r="AX181" s="173"/>
    </row>
    <row r="182" spans="2:50" s="1" customFormat="1" x14ac:dyDescent="0.2">
      <c r="B182" s="30" t="s">
        <v>378</v>
      </c>
      <c r="H182" s="48"/>
      <c r="I182" s="173" t="str">
        <f t="shared" ref="I182:AH182" si="930">+IFERROR(I172/H172-1,"n/a")</f>
        <v>n/a</v>
      </c>
      <c r="J182" s="173" t="str">
        <f t="shared" si="930"/>
        <v>n/a</v>
      </c>
      <c r="K182" s="173" t="str">
        <f t="shared" si="930"/>
        <v>n/a</v>
      </c>
      <c r="L182" s="173" t="str">
        <f t="shared" si="930"/>
        <v>n/a</v>
      </c>
      <c r="M182" s="173" t="str">
        <f t="shared" si="930"/>
        <v>n/a</v>
      </c>
      <c r="N182" s="173" t="str">
        <f t="shared" si="930"/>
        <v>n/a</v>
      </c>
      <c r="O182" s="173" t="str">
        <f t="shared" si="930"/>
        <v>n/a</v>
      </c>
      <c r="P182" s="173" t="str">
        <f t="shared" si="930"/>
        <v>n/a</v>
      </c>
      <c r="Q182" s="173" t="str">
        <f t="shared" si="930"/>
        <v>n/a</v>
      </c>
      <c r="R182" s="173" t="str">
        <f t="shared" si="930"/>
        <v>n/a</v>
      </c>
      <c r="S182" s="173" t="str">
        <f t="shared" si="930"/>
        <v>n/a</v>
      </c>
      <c r="T182" s="173">
        <f t="shared" si="930"/>
        <v>1.7456140973734517</v>
      </c>
      <c r="U182" s="173">
        <f t="shared" si="930"/>
        <v>0.34710002662288386</v>
      </c>
      <c r="V182" s="173">
        <f t="shared" si="930"/>
        <v>0.42378923406455038</v>
      </c>
      <c r="W182" s="173">
        <f t="shared" si="930"/>
        <v>0.16233998516913117</v>
      </c>
      <c r="X182" s="173">
        <f t="shared" si="930"/>
        <v>2.6174176682214334E-2</v>
      </c>
      <c r="Y182" s="173">
        <f t="shared" si="930"/>
        <v>0.10113671176677164</v>
      </c>
      <c r="Z182" s="173">
        <f t="shared" si="930"/>
        <v>0.11581806879310252</v>
      </c>
      <c r="AA182" s="173">
        <f t="shared" si="930"/>
        <v>0.10432964225198793</v>
      </c>
      <c r="AB182" s="173">
        <f t="shared" si="930"/>
        <v>0.10585218473016922</v>
      </c>
      <c r="AC182" s="173">
        <f t="shared" si="930"/>
        <v>6.0096068789067036E-2</v>
      </c>
      <c r="AD182" s="173">
        <f t="shared" si="930"/>
        <v>9.8727922958005809E-2</v>
      </c>
      <c r="AE182" s="173">
        <f t="shared" si="930"/>
        <v>1.5555121887755874E-2</v>
      </c>
      <c r="AF182" s="173">
        <f t="shared" si="930"/>
        <v>-3.4941114172267973E-2</v>
      </c>
      <c r="AG182" s="173">
        <f t="shared" si="930"/>
        <v>9.6968975529556634E-2</v>
      </c>
      <c r="AH182" s="173">
        <f t="shared" si="930"/>
        <v>4.6407545674291395E-2</v>
      </c>
      <c r="AI182" s="173">
        <f t="shared" ref="AI182:AJ182" si="931">+IFERROR(AI172/AH172-1,"n/a")</f>
        <v>-7.0127697097501773E-3</v>
      </c>
      <c r="AJ182" s="173">
        <f t="shared" si="931"/>
        <v>-3.4941114172267862E-2</v>
      </c>
      <c r="AK182" s="173">
        <f t="shared" si="925"/>
        <v>9.6968975529556634E-2</v>
      </c>
      <c r="AL182" s="173">
        <f t="shared" si="926"/>
        <v>4.6407545674291395E-2</v>
      </c>
      <c r="AM182" s="173">
        <f t="shared" si="927"/>
        <v>-7.0127697097500663E-3</v>
      </c>
      <c r="AP182" s="173"/>
      <c r="AQ182" s="173"/>
      <c r="AR182" s="173"/>
      <c r="AS182" s="173"/>
      <c r="AT182" s="173"/>
      <c r="AU182" s="173"/>
      <c r="AV182" s="173"/>
      <c r="AW182" s="173"/>
      <c r="AX182" s="173"/>
    </row>
    <row r="184" spans="2:50" x14ac:dyDescent="0.2">
      <c r="B184" s="24" t="s">
        <v>372</v>
      </c>
    </row>
    <row r="185" spans="2:50" x14ac:dyDescent="0.2">
      <c r="B185" s="184" t="s">
        <v>225</v>
      </c>
      <c r="H185" s="14">
        <f t="shared" ref="H185:AE185" si="932">+IFERROR(H312*(H$226*1000),"n/a")</f>
        <v>0</v>
      </c>
      <c r="I185" s="14">
        <f t="shared" si="932"/>
        <v>0</v>
      </c>
      <c r="J185" s="14">
        <f t="shared" si="932"/>
        <v>0</v>
      </c>
      <c r="K185" s="14">
        <f t="shared" si="932"/>
        <v>0</v>
      </c>
      <c r="L185" s="14">
        <f t="shared" si="932"/>
        <v>0</v>
      </c>
      <c r="M185" s="14">
        <f t="shared" si="932"/>
        <v>0</v>
      </c>
      <c r="N185" s="14">
        <f t="shared" si="932"/>
        <v>0</v>
      </c>
      <c r="O185" s="14">
        <f t="shared" si="932"/>
        <v>0</v>
      </c>
      <c r="P185" s="14">
        <f t="shared" si="932"/>
        <v>0</v>
      </c>
      <c r="Q185" s="14">
        <f t="shared" si="932"/>
        <v>0</v>
      </c>
      <c r="R185" s="14">
        <f t="shared" si="932"/>
        <v>0</v>
      </c>
      <c r="S185" s="14">
        <f t="shared" si="932"/>
        <v>0</v>
      </c>
      <c r="T185" s="14">
        <f t="shared" si="932"/>
        <v>0</v>
      </c>
      <c r="U185" s="14">
        <f t="shared" si="932"/>
        <v>0</v>
      </c>
      <c r="V185" s="14">
        <f t="shared" si="932"/>
        <v>0</v>
      </c>
      <c r="W185" s="14">
        <f t="shared" si="932"/>
        <v>0</v>
      </c>
      <c r="X185" s="14">
        <f t="shared" si="932"/>
        <v>0</v>
      </c>
      <c r="Y185" s="14">
        <f t="shared" si="932"/>
        <v>0</v>
      </c>
      <c r="Z185" s="14">
        <f t="shared" si="932"/>
        <v>0</v>
      </c>
      <c r="AA185" s="14">
        <f t="shared" si="932"/>
        <v>0</v>
      </c>
      <c r="AB185" s="14">
        <f t="shared" si="932"/>
        <v>0</v>
      </c>
      <c r="AC185" s="14">
        <f t="shared" si="932"/>
        <v>0</v>
      </c>
      <c r="AD185" s="14">
        <f t="shared" si="932"/>
        <v>0</v>
      </c>
      <c r="AE185" s="14">
        <f t="shared" si="932"/>
        <v>0</v>
      </c>
      <c r="AF185" s="14">
        <f t="shared" ref="AF185:AG185" si="933">+IFERROR(AF312*(AF$226*1000),"n/a")</f>
        <v>0</v>
      </c>
      <c r="AG185" s="14">
        <f t="shared" si="933"/>
        <v>0</v>
      </c>
      <c r="AH185" s="14">
        <f t="shared" ref="AH185" si="934">+IFERROR(AH312*(AH$226*1000),"n/a")</f>
        <v>0</v>
      </c>
      <c r="AI185" s="14">
        <f t="shared" ref="AI185" si="935">+IFERROR(AI312*(AI$226*1000),"n/a")</f>
        <v>0</v>
      </c>
      <c r="AJ185" s="14">
        <f t="shared" ref="AJ185:AM185" si="936">+IFERROR(AJ312*(AJ$226*1000),"n/a")</f>
        <v>0</v>
      </c>
      <c r="AK185" s="14">
        <f t="shared" si="936"/>
        <v>0</v>
      </c>
      <c r="AL185" s="14">
        <f t="shared" si="936"/>
        <v>0</v>
      </c>
      <c r="AM185" s="14">
        <f t="shared" si="936"/>
        <v>0</v>
      </c>
      <c r="AO185" s="14">
        <f>+IFERROR(AO312*(AO$226*1000),"n/a")</f>
        <v>0</v>
      </c>
      <c r="AP185" s="14">
        <f>+IFERROR(AP312*(AP$226*1000),"n/a")</f>
        <v>0</v>
      </c>
      <c r="AQ185" s="14">
        <f>+SUM(H185:K185)</f>
        <v>0</v>
      </c>
      <c r="AR185" s="14">
        <f>+SUM(L185:O185)</f>
        <v>0</v>
      </c>
      <c r="AS185" s="14">
        <f>+SUM(P185:S185)</f>
        <v>0</v>
      </c>
      <c r="AT185" s="14">
        <f>+SUM(T185:W185)</f>
        <v>0</v>
      </c>
      <c r="AU185" s="14">
        <f>+SUM(X185:AA185)</f>
        <v>0</v>
      </c>
      <c r="AV185" s="14">
        <f>+SUM(AB185:AE185)</f>
        <v>0</v>
      </c>
      <c r="AW185" s="10">
        <f>+SUM(AF185:AI185)</f>
        <v>0</v>
      </c>
      <c r="AX185" s="14">
        <f>+SUM(AJ185:AM185)</f>
        <v>0</v>
      </c>
    </row>
    <row r="186" spans="2:50" ht="13.5" x14ac:dyDescent="0.35">
      <c r="B186" s="184" t="s">
        <v>226</v>
      </c>
      <c r="H186" s="15">
        <f t="shared" ref="H186:AE186" si="937">+IFERROR(H313*(H$226*1000),"n/a")</f>
        <v>0</v>
      </c>
      <c r="I186" s="15">
        <f t="shared" si="937"/>
        <v>0</v>
      </c>
      <c r="J186" s="15">
        <f t="shared" si="937"/>
        <v>0</v>
      </c>
      <c r="K186" s="15">
        <f t="shared" si="937"/>
        <v>0</v>
      </c>
      <c r="L186" s="15">
        <f t="shared" si="937"/>
        <v>0</v>
      </c>
      <c r="M186" s="15">
        <f t="shared" si="937"/>
        <v>0</v>
      </c>
      <c r="N186" s="15">
        <f t="shared" si="937"/>
        <v>0</v>
      </c>
      <c r="O186" s="15">
        <f t="shared" si="937"/>
        <v>0</v>
      </c>
      <c r="P186" s="15">
        <f t="shared" si="937"/>
        <v>0</v>
      </c>
      <c r="Q186" s="15">
        <f t="shared" si="937"/>
        <v>0</v>
      </c>
      <c r="R186" s="15">
        <f t="shared" si="937"/>
        <v>0</v>
      </c>
      <c r="S186" s="15">
        <f t="shared" si="937"/>
        <v>0</v>
      </c>
      <c r="T186" s="15">
        <f t="shared" si="937"/>
        <v>0</v>
      </c>
      <c r="U186" s="15">
        <f t="shared" si="937"/>
        <v>0</v>
      </c>
      <c r="V186" s="15">
        <f t="shared" si="937"/>
        <v>0</v>
      </c>
      <c r="W186" s="15">
        <f t="shared" si="937"/>
        <v>0</v>
      </c>
      <c r="X186" s="15">
        <f t="shared" si="937"/>
        <v>0</v>
      </c>
      <c r="Y186" s="15">
        <f t="shared" si="937"/>
        <v>0</v>
      </c>
      <c r="Z186" s="15">
        <f t="shared" si="937"/>
        <v>0</v>
      </c>
      <c r="AA186" s="15">
        <f t="shared" si="937"/>
        <v>435.26006850191163</v>
      </c>
      <c r="AB186" s="15">
        <f t="shared" si="937"/>
        <v>1448.477665011083</v>
      </c>
      <c r="AC186" s="15">
        <f t="shared" si="937"/>
        <v>4478.5818695256112</v>
      </c>
      <c r="AD186" s="15">
        <f t="shared" si="937"/>
        <v>18973.75643803132</v>
      </c>
      <c r="AE186" s="15">
        <f t="shared" si="937"/>
        <v>26572.859746461942</v>
      </c>
      <c r="AF186" s="15">
        <f t="shared" ref="AF186:AG186" si="938">+IFERROR(AF313*(AF$226*1000),"n/a")</f>
        <v>32667.784142373654</v>
      </c>
      <c r="AG186" s="15">
        <f t="shared" si="938"/>
        <v>35584.972337282394</v>
      </c>
      <c r="AH186" s="15">
        <f t="shared" ref="AH186" si="939">+IFERROR(AH313*(AH$226*1000),"n/a")</f>
        <v>38431.770124264993</v>
      </c>
      <c r="AI186" s="15">
        <f t="shared" ref="AI186" si="940">+IFERROR(AI313*(AI$226*1000),"n/a")</f>
        <v>42274.947136691495</v>
      </c>
      <c r="AJ186" s="15">
        <f t="shared" ref="AJ186:AM186" si="941">+IFERROR(AJ313*(AJ$226*1000),"n/a")</f>
        <v>38221.307446577186</v>
      </c>
      <c r="AK186" s="15">
        <f t="shared" si="941"/>
        <v>46260.464038467115</v>
      </c>
      <c r="AL186" s="15">
        <f t="shared" si="941"/>
        <v>49961.301161544485</v>
      </c>
      <c r="AM186" s="15">
        <f t="shared" si="941"/>
        <v>54957.431277698946</v>
      </c>
      <c r="AO186" s="15">
        <f>+IFERROR(AO313*(AO$226*1000),"n/a")</f>
        <v>0</v>
      </c>
      <c r="AP186" s="15">
        <f>+IFERROR(AP313*(AP$226*1000),"n/a")</f>
        <v>0</v>
      </c>
      <c r="AQ186" s="15">
        <f>+SUM(H186:K186)</f>
        <v>0</v>
      </c>
      <c r="AR186" s="15">
        <f>+SUM(L186:O186)</f>
        <v>0</v>
      </c>
      <c r="AS186" s="15">
        <f>+SUM(P186:S186)</f>
        <v>0</v>
      </c>
      <c r="AT186" s="15">
        <f>+SUM(T186:W186)</f>
        <v>0</v>
      </c>
      <c r="AU186" s="15">
        <f>+SUM(X186:AA186)</f>
        <v>435.26006850191163</v>
      </c>
      <c r="AV186" s="15">
        <f>+SUM(AB186:AE186)</f>
        <v>51473.675719029954</v>
      </c>
      <c r="AW186" s="25">
        <f>+SUM(AF186:AI186)</f>
        <v>148959.47374061254</v>
      </c>
      <c r="AX186" s="36">
        <f t="shared" ref="AX186:AX187" si="942">+SUM(AJ186:AM186)</f>
        <v>189400.50392428774</v>
      </c>
    </row>
    <row r="187" spans="2:50" s="1" customFormat="1" x14ac:dyDescent="0.2">
      <c r="B187" s="38" t="s">
        <v>392</v>
      </c>
      <c r="H187" s="48">
        <f>+IFERROR(H185+H186,"n/a")</f>
        <v>0</v>
      </c>
      <c r="I187" s="48">
        <f t="shared" ref="I187" si="943">+IFERROR(I185+I186,"n/a")</f>
        <v>0</v>
      </c>
      <c r="J187" s="48">
        <f t="shared" ref="J187" si="944">+IFERROR(J185+J186,"n/a")</f>
        <v>0</v>
      </c>
      <c r="K187" s="48">
        <f t="shared" ref="K187" si="945">+IFERROR(K185+K186,"n/a")</f>
        <v>0</v>
      </c>
      <c r="L187" s="48">
        <f t="shared" ref="L187" si="946">+IFERROR(L185+L186,"n/a")</f>
        <v>0</v>
      </c>
      <c r="M187" s="48">
        <f t="shared" ref="M187" si="947">+IFERROR(M185+M186,"n/a")</f>
        <v>0</v>
      </c>
      <c r="N187" s="48">
        <f t="shared" ref="N187" si="948">+IFERROR(N185+N186,"n/a")</f>
        <v>0</v>
      </c>
      <c r="O187" s="48">
        <f t="shared" ref="O187" si="949">+IFERROR(O185+O186,"n/a")</f>
        <v>0</v>
      </c>
      <c r="P187" s="48">
        <f t="shared" ref="P187" si="950">+IFERROR(P185+P186,"n/a")</f>
        <v>0</v>
      </c>
      <c r="Q187" s="48">
        <f t="shared" ref="Q187" si="951">+IFERROR(Q185+Q186,"n/a")</f>
        <v>0</v>
      </c>
      <c r="R187" s="48">
        <f t="shared" ref="R187" si="952">+IFERROR(R185+R186,"n/a")</f>
        <v>0</v>
      </c>
      <c r="S187" s="48">
        <f t="shared" ref="S187" si="953">+IFERROR(S185+S186,"n/a")</f>
        <v>0</v>
      </c>
      <c r="T187" s="48">
        <f t="shared" ref="T187" si="954">+IFERROR(T185+T186,"n/a")</f>
        <v>0</v>
      </c>
      <c r="U187" s="48">
        <f t="shared" ref="U187" si="955">+IFERROR(U185+U186,"n/a")</f>
        <v>0</v>
      </c>
      <c r="V187" s="48">
        <f t="shared" ref="V187" si="956">+IFERROR(V185+V186,"n/a")</f>
        <v>0</v>
      </c>
      <c r="W187" s="48">
        <f t="shared" ref="W187" si="957">+IFERROR(W185+W186,"n/a")</f>
        <v>0</v>
      </c>
      <c r="X187" s="48">
        <f t="shared" ref="X187" si="958">+IFERROR(X185+X186,"n/a")</f>
        <v>0</v>
      </c>
      <c r="Y187" s="48">
        <f t="shared" ref="Y187" si="959">+IFERROR(Y185+Y186,"n/a")</f>
        <v>0</v>
      </c>
      <c r="Z187" s="48">
        <f t="shared" ref="Z187" si="960">+IFERROR(Z185+Z186,"n/a")</f>
        <v>0</v>
      </c>
      <c r="AA187" s="48">
        <f t="shared" ref="AA187" si="961">+IFERROR(AA185+AA186,"n/a")</f>
        <v>435.26006850191163</v>
      </c>
      <c r="AB187" s="48">
        <f t="shared" ref="AB187" si="962">+IFERROR(AB185+AB186,"n/a")</f>
        <v>1448.477665011083</v>
      </c>
      <c r="AC187" s="48">
        <f t="shared" ref="AC187" si="963">+IFERROR(AC185+AC186,"n/a")</f>
        <v>4478.5818695256112</v>
      </c>
      <c r="AD187" s="48">
        <f t="shared" ref="AD187" si="964">+IFERROR(AD185+AD186,"n/a")</f>
        <v>18973.75643803132</v>
      </c>
      <c r="AE187" s="48">
        <f t="shared" ref="AE187:AG187" si="965">+IFERROR(AE185+AE186,"n/a")</f>
        <v>26572.859746461942</v>
      </c>
      <c r="AF187" s="48">
        <f t="shared" si="965"/>
        <v>32667.784142373654</v>
      </c>
      <c r="AG187" s="48">
        <f t="shared" si="965"/>
        <v>35584.972337282394</v>
      </c>
      <c r="AH187" s="48">
        <f t="shared" ref="AH187" si="966">+IFERROR(AH185+AH186,"n/a")</f>
        <v>38431.770124264993</v>
      </c>
      <c r="AI187" s="48">
        <f t="shared" ref="AI187:AJ187" si="967">+IFERROR(AI185+AI186,"n/a")</f>
        <v>42274.947136691495</v>
      </c>
      <c r="AJ187" s="48">
        <f t="shared" si="967"/>
        <v>38221.307446577186</v>
      </c>
      <c r="AK187" s="48">
        <f t="shared" ref="AK187:AM187" si="968">+IFERROR(AK185+AK186,"n/a")</f>
        <v>46260.464038467115</v>
      </c>
      <c r="AL187" s="48">
        <f t="shared" si="968"/>
        <v>49961.301161544485</v>
      </c>
      <c r="AM187" s="48">
        <f t="shared" si="968"/>
        <v>54957.431277698946</v>
      </c>
      <c r="AO187" s="48">
        <f>+IFERROR(AO185+AO186,"n/a")</f>
        <v>0</v>
      </c>
      <c r="AP187" s="48">
        <f>+IFERROR(AP185+AP186,"n/a")</f>
        <v>0</v>
      </c>
      <c r="AQ187" s="48">
        <f>+SUM(H187:K187)</f>
        <v>0</v>
      </c>
      <c r="AR187" s="48">
        <f>+SUM(L187:O187)</f>
        <v>0</v>
      </c>
      <c r="AS187" s="48">
        <f>+SUM(P187:S187)</f>
        <v>0</v>
      </c>
      <c r="AT187" s="48">
        <f>+SUM(T187:W187)</f>
        <v>0</v>
      </c>
      <c r="AU187" s="48">
        <f>+SUM(X187:AA187)</f>
        <v>435.26006850191163</v>
      </c>
      <c r="AV187" s="48">
        <f>+SUM(AB187:AE187)</f>
        <v>51473.675719029954</v>
      </c>
      <c r="AW187" s="42">
        <f>+SUM(AF187:AI187)</f>
        <v>148959.47374061254</v>
      </c>
      <c r="AX187" s="42">
        <f t="shared" si="942"/>
        <v>189400.50392428774</v>
      </c>
    </row>
    <row r="188" spans="2:50" s="1" customFormat="1" x14ac:dyDescent="0.2">
      <c r="B188" s="3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row>
    <row r="189" spans="2:50" s="1" customFormat="1" x14ac:dyDescent="0.2">
      <c r="B189" s="19" t="s">
        <v>85</v>
      </c>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row>
    <row r="190" spans="2:50" s="1" customFormat="1" x14ac:dyDescent="0.2">
      <c r="B190" s="20" t="s">
        <v>225</v>
      </c>
      <c r="H190" s="48"/>
      <c r="I190" s="48"/>
      <c r="J190" s="48"/>
      <c r="K190" s="48"/>
      <c r="L190" s="173" t="str">
        <f>+IFERROR(L185/H185-1,"n/a")</f>
        <v>n/a</v>
      </c>
      <c r="M190" s="173" t="str">
        <f t="shared" ref="M190:M192" si="969">+IFERROR(M185/I185-1,"n/a")</f>
        <v>n/a</v>
      </c>
      <c r="N190" s="173" t="str">
        <f t="shared" ref="N190:N192" si="970">+IFERROR(N185/J185-1,"n/a")</f>
        <v>n/a</v>
      </c>
      <c r="O190" s="173" t="str">
        <f t="shared" ref="O190:O192" si="971">+IFERROR(O185/K185-1,"n/a")</f>
        <v>n/a</v>
      </c>
      <c r="P190" s="173" t="str">
        <f t="shared" ref="P190:P192" si="972">+IFERROR(P185/L185-1,"n/a")</f>
        <v>n/a</v>
      </c>
      <c r="Q190" s="173" t="str">
        <f t="shared" ref="Q190:Q192" si="973">+IFERROR(Q185/M185-1,"n/a")</f>
        <v>n/a</v>
      </c>
      <c r="R190" s="173" t="str">
        <f t="shared" ref="R190:R192" si="974">+IFERROR(R185/N185-1,"n/a")</f>
        <v>n/a</v>
      </c>
      <c r="S190" s="173" t="str">
        <f t="shared" ref="S190:S192" si="975">+IFERROR(S185/O185-1,"n/a")</f>
        <v>n/a</v>
      </c>
      <c r="T190" s="173" t="str">
        <f t="shared" ref="T190:T192" si="976">+IFERROR(T185/P185-1,"n/a")</f>
        <v>n/a</v>
      </c>
      <c r="U190" s="173" t="str">
        <f t="shared" ref="U190:U192" si="977">+IFERROR(U185/Q185-1,"n/a")</f>
        <v>n/a</v>
      </c>
      <c r="V190" s="173" t="str">
        <f t="shared" ref="V190:V192" si="978">+IFERROR(V185/R185-1,"n/a")</f>
        <v>n/a</v>
      </c>
      <c r="W190" s="173" t="str">
        <f t="shared" ref="W190:W192" si="979">+IFERROR(W185/S185-1,"n/a")</f>
        <v>n/a</v>
      </c>
      <c r="X190" s="173" t="str">
        <f t="shared" ref="X190:X192" si="980">+IFERROR(X185/T185-1,"n/a")</f>
        <v>n/a</v>
      </c>
      <c r="Y190" s="173" t="str">
        <f t="shared" ref="Y190:Y192" si="981">+IFERROR(Y185/U185-1,"n/a")</f>
        <v>n/a</v>
      </c>
      <c r="Z190" s="173" t="str">
        <f t="shared" ref="Z190:Z192" si="982">+IFERROR(Z185/V185-1,"n/a")</f>
        <v>n/a</v>
      </c>
      <c r="AA190" s="173" t="str">
        <f t="shared" ref="AA190:AA192" si="983">+IFERROR(AA185/W185-1,"n/a")</f>
        <v>n/a</v>
      </c>
      <c r="AB190" s="173" t="str">
        <f t="shared" ref="AB190:AB192" si="984">+IFERROR(AB185/X185-1,"n/a")</f>
        <v>n/a</v>
      </c>
      <c r="AC190" s="173" t="str">
        <f t="shared" ref="AC190:AC192" si="985">+IFERROR(AC185/Y185-1,"n/a")</f>
        <v>n/a</v>
      </c>
      <c r="AD190" s="173" t="str">
        <f t="shared" ref="AD190:AD192" si="986">+IFERROR(AD185/Z185-1,"n/a")</f>
        <v>n/a</v>
      </c>
      <c r="AE190" s="173" t="str">
        <f t="shared" ref="AE190:AH192" si="987">+IFERROR(AE185/AA185-1,"n/a")</f>
        <v>n/a</v>
      </c>
      <c r="AF190" s="173" t="str">
        <f t="shared" si="987"/>
        <v>n/a</v>
      </c>
      <c r="AG190" s="173" t="str">
        <f t="shared" si="987"/>
        <v>n/a</v>
      </c>
      <c r="AH190" s="173" t="str">
        <f t="shared" si="987"/>
        <v>n/a</v>
      </c>
      <c r="AI190" s="173" t="str">
        <f t="shared" ref="AI190:AJ192" si="988">+IFERROR(AI185/AE185-1,"n/a")</f>
        <v>n/a</v>
      </c>
      <c r="AJ190" s="173" t="str">
        <f t="shared" si="988"/>
        <v>n/a</v>
      </c>
      <c r="AK190" s="173" t="str">
        <f t="shared" ref="AK190:AK192" si="989">+IFERROR(AK185/AG185-1,"n/a")</f>
        <v>n/a</v>
      </c>
      <c r="AL190" s="173" t="str">
        <f t="shared" ref="AL190:AL192" si="990">+IFERROR(AL185/AH185-1,"n/a")</f>
        <v>n/a</v>
      </c>
      <c r="AM190" s="173" t="str">
        <f t="shared" ref="AM190:AM192" si="991">+IFERROR(AM185/AI185-1,"n/a")</f>
        <v>n/a</v>
      </c>
      <c r="AP190" s="173" t="str">
        <f>+IFERROR(AP185/AO185-1,"n/a")</f>
        <v>n/a</v>
      </c>
      <c r="AQ190" s="173" t="str">
        <f t="shared" ref="AQ190:AV190" si="992">+IFERROR(AQ185/AP185-1,"n/a")</f>
        <v>n/a</v>
      </c>
      <c r="AR190" s="173" t="str">
        <f t="shared" si="992"/>
        <v>n/a</v>
      </c>
      <c r="AS190" s="173" t="str">
        <f t="shared" si="992"/>
        <v>n/a</v>
      </c>
      <c r="AT190" s="173" t="str">
        <f t="shared" si="992"/>
        <v>n/a</v>
      </c>
      <c r="AU190" s="173" t="str">
        <f t="shared" si="992"/>
        <v>n/a</v>
      </c>
      <c r="AV190" s="173" t="str">
        <f t="shared" si="992"/>
        <v>n/a</v>
      </c>
      <c r="AW190" s="173" t="str">
        <f t="shared" ref="AW190:AX190" si="993">+IFERROR(AW185/AV185-1,"n/a")</f>
        <v>n/a</v>
      </c>
      <c r="AX190" s="173" t="str">
        <f t="shared" si="993"/>
        <v>n/a</v>
      </c>
    </row>
    <row r="191" spans="2:50" s="1" customFormat="1" ht="13.5" x14ac:dyDescent="0.35">
      <c r="B191" s="20" t="s">
        <v>226</v>
      </c>
      <c r="H191" s="48"/>
      <c r="I191" s="48"/>
      <c r="J191" s="48"/>
      <c r="K191" s="48"/>
      <c r="L191" s="180" t="str">
        <f t="shared" ref="L191:L192" si="994">+IFERROR(L186/H186-1,"n/a")</f>
        <v>n/a</v>
      </c>
      <c r="M191" s="180" t="str">
        <f t="shared" si="969"/>
        <v>n/a</v>
      </c>
      <c r="N191" s="180" t="str">
        <f t="shared" si="970"/>
        <v>n/a</v>
      </c>
      <c r="O191" s="180" t="str">
        <f t="shared" si="971"/>
        <v>n/a</v>
      </c>
      <c r="P191" s="180" t="str">
        <f t="shared" si="972"/>
        <v>n/a</v>
      </c>
      <c r="Q191" s="180" t="str">
        <f t="shared" si="973"/>
        <v>n/a</v>
      </c>
      <c r="R191" s="180" t="str">
        <f t="shared" si="974"/>
        <v>n/a</v>
      </c>
      <c r="S191" s="180" t="str">
        <f t="shared" si="975"/>
        <v>n/a</v>
      </c>
      <c r="T191" s="180" t="str">
        <f t="shared" si="976"/>
        <v>n/a</v>
      </c>
      <c r="U191" s="180" t="str">
        <f t="shared" si="977"/>
        <v>n/a</v>
      </c>
      <c r="V191" s="180" t="str">
        <f t="shared" si="978"/>
        <v>n/a</v>
      </c>
      <c r="W191" s="180" t="str">
        <f t="shared" si="979"/>
        <v>n/a</v>
      </c>
      <c r="X191" s="180" t="str">
        <f t="shared" si="980"/>
        <v>n/a</v>
      </c>
      <c r="Y191" s="180" t="str">
        <f t="shared" si="981"/>
        <v>n/a</v>
      </c>
      <c r="Z191" s="180" t="str">
        <f t="shared" si="982"/>
        <v>n/a</v>
      </c>
      <c r="AA191" s="180" t="str">
        <f t="shared" si="983"/>
        <v>n/a</v>
      </c>
      <c r="AB191" s="180" t="str">
        <f t="shared" si="984"/>
        <v>n/a</v>
      </c>
      <c r="AC191" s="180" t="str">
        <f t="shared" si="985"/>
        <v>n/a</v>
      </c>
      <c r="AD191" s="180" t="str">
        <f t="shared" si="986"/>
        <v>n/a</v>
      </c>
      <c r="AE191" s="180">
        <f t="shared" si="987"/>
        <v>60.050534311408434</v>
      </c>
      <c r="AF191" s="180">
        <f t="shared" si="987"/>
        <v>21.553184582327471</v>
      </c>
      <c r="AG191" s="180">
        <f t="shared" si="987"/>
        <v>6.9455893347444135</v>
      </c>
      <c r="AH191" s="180">
        <f t="shared" si="987"/>
        <v>1.0255224762573478</v>
      </c>
      <c r="AI191" s="180">
        <f t="shared" si="988"/>
        <v>0.59090694565985569</v>
      </c>
      <c r="AJ191" s="180">
        <f t="shared" si="988"/>
        <v>0.17000000000000037</v>
      </c>
      <c r="AK191" s="180">
        <f t="shared" si="989"/>
        <v>0.30000000000000004</v>
      </c>
      <c r="AL191" s="180">
        <f t="shared" si="990"/>
        <v>0.29999999999999982</v>
      </c>
      <c r="AM191" s="180">
        <f t="shared" si="991"/>
        <v>0.30000000000000004</v>
      </c>
      <c r="AP191" s="180" t="str">
        <f t="shared" ref="AP191:AV192" si="995">+IFERROR(AP186/AO186-1,"n/a")</f>
        <v>n/a</v>
      </c>
      <c r="AQ191" s="180" t="str">
        <f t="shared" si="995"/>
        <v>n/a</v>
      </c>
      <c r="AR191" s="180" t="str">
        <f t="shared" si="995"/>
        <v>n/a</v>
      </c>
      <c r="AS191" s="180" t="str">
        <f t="shared" si="995"/>
        <v>n/a</v>
      </c>
      <c r="AT191" s="180" t="str">
        <f t="shared" si="995"/>
        <v>n/a</v>
      </c>
      <c r="AU191" s="180" t="str">
        <f t="shared" si="995"/>
        <v>n/a</v>
      </c>
      <c r="AV191" s="180">
        <f t="shared" si="995"/>
        <v>117.25958649547904</v>
      </c>
      <c r="AW191" s="180">
        <f t="shared" ref="AW191:AX191" si="996">+IFERROR(AW186/AV186-1,"n/a")</f>
        <v>1.8938961840166746</v>
      </c>
      <c r="AX191" s="180">
        <f t="shared" si="996"/>
        <v>0.27149015210738692</v>
      </c>
    </row>
    <row r="192" spans="2:50" s="1" customFormat="1" x14ac:dyDescent="0.2">
      <c r="B192" s="30" t="s">
        <v>340</v>
      </c>
      <c r="H192" s="48"/>
      <c r="I192" s="48"/>
      <c r="J192" s="48"/>
      <c r="K192" s="48"/>
      <c r="L192" s="173" t="str">
        <f t="shared" si="994"/>
        <v>n/a</v>
      </c>
      <c r="M192" s="173" t="str">
        <f t="shared" si="969"/>
        <v>n/a</v>
      </c>
      <c r="N192" s="173" t="str">
        <f t="shared" si="970"/>
        <v>n/a</v>
      </c>
      <c r="O192" s="173" t="str">
        <f t="shared" si="971"/>
        <v>n/a</v>
      </c>
      <c r="P192" s="173" t="str">
        <f t="shared" si="972"/>
        <v>n/a</v>
      </c>
      <c r="Q192" s="173" t="str">
        <f t="shared" si="973"/>
        <v>n/a</v>
      </c>
      <c r="R192" s="173" t="str">
        <f t="shared" si="974"/>
        <v>n/a</v>
      </c>
      <c r="S192" s="173" t="str">
        <f t="shared" si="975"/>
        <v>n/a</v>
      </c>
      <c r="T192" s="173" t="str">
        <f t="shared" si="976"/>
        <v>n/a</v>
      </c>
      <c r="U192" s="173" t="str">
        <f t="shared" si="977"/>
        <v>n/a</v>
      </c>
      <c r="V192" s="173" t="str">
        <f t="shared" si="978"/>
        <v>n/a</v>
      </c>
      <c r="W192" s="173" t="str">
        <f t="shared" si="979"/>
        <v>n/a</v>
      </c>
      <c r="X192" s="173" t="str">
        <f t="shared" si="980"/>
        <v>n/a</v>
      </c>
      <c r="Y192" s="173" t="str">
        <f t="shared" si="981"/>
        <v>n/a</v>
      </c>
      <c r="Z192" s="173" t="str">
        <f t="shared" si="982"/>
        <v>n/a</v>
      </c>
      <c r="AA192" s="173" t="str">
        <f t="shared" si="983"/>
        <v>n/a</v>
      </c>
      <c r="AB192" s="173" t="str">
        <f t="shared" si="984"/>
        <v>n/a</v>
      </c>
      <c r="AC192" s="173" t="str">
        <f t="shared" si="985"/>
        <v>n/a</v>
      </c>
      <c r="AD192" s="173" t="str">
        <f t="shared" si="986"/>
        <v>n/a</v>
      </c>
      <c r="AE192" s="173">
        <f t="shared" si="987"/>
        <v>60.050534311408434</v>
      </c>
      <c r="AF192" s="173">
        <f t="shared" si="987"/>
        <v>21.553184582327471</v>
      </c>
      <c r="AG192" s="173">
        <f t="shared" si="987"/>
        <v>6.9455893347444135</v>
      </c>
      <c r="AH192" s="173">
        <f t="shared" si="987"/>
        <v>1.0255224762573478</v>
      </c>
      <c r="AI192" s="173">
        <f t="shared" si="988"/>
        <v>0.59090694565985569</v>
      </c>
      <c r="AJ192" s="173">
        <f t="shared" si="988"/>
        <v>0.17000000000000037</v>
      </c>
      <c r="AK192" s="173">
        <f t="shared" si="989"/>
        <v>0.30000000000000004</v>
      </c>
      <c r="AL192" s="173">
        <f t="shared" si="990"/>
        <v>0.29999999999999982</v>
      </c>
      <c r="AM192" s="173">
        <f t="shared" si="991"/>
        <v>0.30000000000000004</v>
      </c>
      <c r="AP192" s="173" t="str">
        <f t="shared" si="995"/>
        <v>n/a</v>
      </c>
      <c r="AQ192" s="173" t="str">
        <f t="shared" si="995"/>
        <v>n/a</v>
      </c>
      <c r="AR192" s="173" t="str">
        <f t="shared" si="995"/>
        <v>n/a</v>
      </c>
      <c r="AS192" s="173" t="str">
        <f t="shared" si="995"/>
        <v>n/a</v>
      </c>
      <c r="AT192" s="173" t="str">
        <f t="shared" si="995"/>
        <v>n/a</v>
      </c>
      <c r="AU192" s="173" t="str">
        <f t="shared" si="995"/>
        <v>n/a</v>
      </c>
      <c r="AV192" s="173">
        <f t="shared" si="995"/>
        <v>117.25958649547904</v>
      </c>
      <c r="AW192" s="173">
        <f t="shared" ref="AW192:AX192" si="997">+IFERROR(AW187/AV187-1,"n/a")</f>
        <v>1.8938961840166746</v>
      </c>
      <c r="AX192" s="173">
        <f t="shared" si="997"/>
        <v>0.27149015210738692</v>
      </c>
    </row>
    <row r="193" spans="2:50" s="1" customFormat="1" x14ac:dyDescent="0.2">
      <c r="B193" s="30"/>
      <c r="H193" s="48"/>
      <c r="I193" s="48"/>
      <c r="J193" s="48"/>
      <c r="K193" s="48"/>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P193" s="173"/>
      <c r="AQ193" s="173"/>
      <c r="AR193" s="173"/>
      <c r="AS193" s="173"/>
      <c r="AT193" s="173"/>
      <c r="AU193" s="173"/>
      <c r="AV193" s="173"/>
      <c r="AW193" s="173"/>
      <c r="AX193" s="173"/>
    </row>
    <row r="194" spans="2:50" s="1" customFormat="1" x14ac:dyDescent="0.2">
      <c r="B194" s="19" t="s">
        <v>261</v>
      </c>
      <c r="H194" s="48"/>
      <c r="I194" s="48"/>
      <c r="J194" s="48"/>
      <c r="K194" s="48"/>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P194" s="173"/>
      <c r="AQ194" s="173"/>
      <c r="AR194" s="173"/>
      <c r="AS194" s="173"/>
      <c r="AT194" s="173"/>
      <c r="AU194" s="173"/>
      <c r="AV194" s="173"/>
      <c r="AW194" s="173"/>
      <c r="AX194" s="173"/>
    </row>
    <row r="195" spans="2:50" s="1" customFormat="1" x14ac:dyDescent="0.2">
      <c r="B195" s="20" t="s">
        <v>225</v>
      </c>
      <c r="H195" s="48"/>
      <c r="I195" s="173" t="str">
        <f>+IFERROR(I185/H185-1,"n/a")</f>
        <v>n/a</v>
      </c>
      <c r="J195" s="173" t="str">
        <f t="shared" ref="J195:AH197" si="998">+IFERROR(J185/I185-1,"n/a")</f>
        <v>n/a</v>
      </c>
      <c r="K195" s="173" t="str">
        <f t="shared" si="998"/>
        <v>n/a</v>
      </c>
      <c r="L195" s="173" t="str">
        <f t="shared" si="998"/>
        <v>n/a</v>
      </c>
      <c r="M195" s="173" t="str">
        <f t="shared" si="998"/>
        <v>n/a</v>
      </c>
      <c r="N195" s="173" t="str">
        <f t="shared" si="998"/>
        <v>n/a</v>
      </c>
      <c r="O195" s="173" t="str">
        <f t="shared" si="998"/>
        <v>n/a</v>
      </c>
      <c r="P195" s="173" t="str">
        <f t="shared" si="998"/>
        <v>n/a</v>
      </c>
      <c r="Q195" s="173" t="str">
        <f t="shared" si="998"/>
        <v>n/a</v>
      </c>
      <c r="R195" s="173" t="str">
        <f t="shared" si="998"/>
        <v>n/a</v>
      </c>
      <c r="S195" s="173" t="str">
        <f t="shared" si="998"/>
        <v>n/a</v>
      </c>
      <c r="T195" s="173" t="str">
        <f t="shared" si="998"/>
        <v>n/a</v>
      </c>
      <c r="U195" s="173" t="str">
        <f t="shared" si="998"/>
        <v>n/a</v>
      </c>
      <c r="V195" s="173" t="str">
        <f t="shared" si="998"/>
        <v>n/a</v>
      </c>
      <c r="W195" s="173" t="str">
        <f t="shared" si="998"/>
        <v>n/a</v>
      </c>
      <c r="X195" s="173" t="str">
        <f t="shared" si="998"/>
        <v>n/a</v>
      </c>
      <c r="Y195" s="173" t="str">
        <f t="shared" si="998"/>
        <v>n/a</v>
      </c>
      <c r="Z195" s="173" t="str">
        <f t="shared" si="998"/>
        <v>n/a</v>
      </c>
      <c r="AA195" s="173" t="str">
        <f t="shared" si="998"/>
        <v>n/a</v>
      </c>
      <c r="AB195" s="173" t="str">
        <f t="shared" si="998"/>
        <v>n/a</v>
      </c>
      <c r="AC195" s="173" t="str">
        <f t="shared" si="998"/>
        <v>n/a</v>
      </c>
      <c r="AD195" s="173" t="str">
        <f t="shared" si="998"/>
        <v>n/a</v>
      </c>
      <c r="AE195" s="173" t="str">
        <f t="shared" si="998"/>
        <v>n/a</v>
      </c>
      <c r="AF195" s="173" t="str">
        <f t="shared" si="998"/>
        <v>n/a</v>
      </c>
      <c r="AG195" s="173" t="str">
        <f t="shared" si="998"/>
        <v>n/a</v>
      </c>
      <c r="AH195" s="173" t="str">
        <f t="shared" si="998"/>
        <v>n/a</v>
      </c>
      <c r="AI195" s="173" t="str">
        <f t="shared" ref="AI195:AJ195" si="999">+IFERROR(AI185/AH185-1,"n/a")</f>
        <v>n/a</v>
      </c>
      <c r="AJ195" s="173" t="str">
        <f t="shared" si="999"/>
        <v>n/a</v>
      </c>
      <c r="AK195" s="173" t="str">
        <f t="shared" ref="AK195:AK197" si="1000">+IFERROR(AK185/AJ185-1,"n/a")</f>
        <v>n/a</v>
      </c>
      <c r="AL195" s="173" t="str">
        <f t="shared" ref="AL195:AL197" si="1001">+IFERROR(AL185/AK185-1,"n/a")</f>
        <v>n/a</v>
      </c>
      <c r="AM195" s="173" t="str">
        <f t="shared" ref="AM195:AM197" si="1002">+IFERROR(AM185/AL185-1,"n/a")</f>
        <v>n/a</v>
      </c>
      <c r="AP195" s="173"/>
      <c r="AQ195" s="173"/>
      <c r="AR195" s="173"/>
      <c r="AS195" s="173"/>
      <c r="AT195" s="173"/>
      <c r="AU195" s="173"/>
      <c r="AV195" s="173"/>
      <c r="AW195" s="173"/>
      <c r="AX195" s="173"/>
    </row>
    <row r="196" spans="2:50" s="1" customFormat="1" ht="13.5" x14ac:dyDescent="0.35">
      <c r="B196" s="20" t="s">
        <v>226</v>
      </c>
      <c r="H196" s="48"/>
      <c r="I196" s="180" t="str">
        <f t="shared" ref="I196:X197" si="1003">+IFERROR(I186/H186-1,"n/a")</f>
        <v>n/a</v>
      </c>
      <c r="J196" s="180" t="str">
        <f t="shared" si="1003"/>
        <v>n/a</v>
      </c>
      <c r="K196" s="180" t="str">
        <f t="shared" si="1003"/>
        <v>n/a</v>
      </c>
      <c r="L196" s="180" t="str">
        <f t="shared" si="1003"/>
        <v>n/a</v>
      </c>
      <c r="M196" s="180" t="str">
        <f t="shared" si="1003"/>
        <v>n/a</v>
      </c>
      <c r="N196" s="180" t="str">
        <f t="shared" si="1003"/>
        <v>n/a</v>
      </c>
      <c r="O196" s="180" t="str">
        <f t="shared" si="1003"/>
        <v>n/a</v>
      </c>
      <c r="P196" s="180" t="str">
        <f t="shared" si="1003"/>
        <v>n/a</v>
      </c>
      <c r="Q196" s="180" t="str">
        <f t="shared" si="1003"/>
        <v>n/a</v>
      </c>
      <c r="R196" s="180" t="str">
        <f t="shared" si="1003"/>
        <v>n/a</v>
      </c>
      <c r="S196" s="180" t="str">
        <f t="shared" si="1003"/>
        <v>n/a</v>
      </c>
      <c r="T196" s="180" t="str">
        <f t="shared" si="1003"/>
        <v>n/a</v>
      </c>
      <c r="U196" s="180" t="str">
        <f t="shared" si="1003"/>
        <v>n/a</v>
      </c>
      <c r="V196" s="180" t="str">
        <f t="shared" si="1003"/>
        <v>n/a</v>
      </c>
      <c r="W196" s="180" t="str">
        <f t="shared" si="1003"/>
        <v>n/a</v>
      </c>
      <c r="X196" s="180" t="str">
        <f t="shared" si="1003"/>
        <v>n/a</v>
      </c>
      <c r="Y196" s="180" t="str">
        <f t="shared" si="998"/>
        <v>n/a</v>
      </c>
      <c r="Z196" s="180" t="str">
        <f t="shared" si="998"/>
        <v>n/a</v>
      </c>
      <c r="AA196" s="180" t="str">
        <f t="shared" si="998"/>
        <v>n/a</v>
      </c>
      <c r="AB196" s="180">
        <f t="shared" si="998"/>
        <v>2.3278441323516939</v>
      </c>
      <c r="AC196" s="180">
        <f t="shared" si="998"/>
        <v>2.0919233190187598</v>
      </c>
      <c r="AD196" s="180">
        <f t="shared" si="998"/>
        <v>3.2365545591870788</v>
      </c>
      <c r="AE196" s="180">
        <f t="shared" si="998"/>
        <v>0.40050600065672026</v>
      </c>
      <c r="AF196" s="180">
        <f t="shared" si="998"/>
        <v>0.22936652110705635</v>
      </c>
      <c r="AG196" s="180">
        <f t="shared" si="998"/>
        <v>8.9298624669336801E-2</v>
      </c>
      <c r="AH196" s="180">
        <f t="shared" si="998"/>
        <v>8.0000000000000293E-2</v>
      </c>
      <c r="AI196" s="180">
        <f t="shared" ref="AI196:AJ196" si="1004">+IFERROR(AI186/AH186-1,"n/a")</f>
        <v>0.10000000000000009</v>
      </c>
      <c r="AJ196" s="180">
        <f t="shared" si="1004"/>
        <v>-9.5887516476538703E-2</v>
      </c>
      <c r="AK196" s="180">
        <f t="shared" si="1000"/>
        <v>0.21033180518815175</v>
      </c>
      <c r="AL196" s="180">
        <f t="shared" si="1001"/>
        <v>8.0000000000000071E-2</v>
      </c>
      <c r="AM196" s="180">
        <f t="shared" si="1002"/>
        <v>0.10000000000000031</v>
      </c>
      <c r="AP196" s="173"/>
      <c r="AQ196" s="173"/>
      <c r="AR196" s="173"/>
      <c r="AS196" s="173"/>
      <c r="AT196" s="173"/>
      <c r="AU196" s="173"/>
      <c r="AV196" s="173"/>
      <c r="AW196" s="173"/>
      <c r="AX196" s="173"/>
    </row>
    <row r="197" spans="2:50" s="1" customFormat="1" x14ac:dyDescent="0.2">
      <c r="B197" s="30" t="s">
        <v>340</v>
      </c>
      <c r="H197" s="48"/>
      <c r="I197" s="173" t="str">
        <f t="shared" si="1003"/>
        <v>n/a</v>
      </c>
      <c r="J197" s="173" t="str">
        <f t="shared" si="998"/>
        <v>n/a</v>
      </c>
      <c r="K197" s="173" t="str">
        <f t="shared" si="998"/>
        <v>n/a</v>
      </c>
      <c r="L197" s="173" t="str">
        <f t="shared" si="998"/>
        <v>n/a</v>
      </c>
      <c r="M197" s="173" t="str">
        <f t="shared" si="998"/>
        <v>n/a</v>
      </c>
      <c r="N197" s="173" t="str">
        <f t="shared" si="998"/>
        <v>n/a</v>
      </c>
      <c r="O197" s="173" t="str">
        <f t="shared" si="998"/>
        <v>n/a</v>
      </c>
      <c r="P197" s="173" t="str">
        <f t="shared" si="998"/>
        <v>n/a</v>
      </c>
      <c r="Q197" s="173" t="str">
        <f t="shared" si="998"/>
        <v>n/a</v>
      </c>
      <c r="R197" s="173" t="str">
        <f t="shared" si="998"/>
        <v>n/a</v>
      </c>
      <c r="S197" s="173" t="str">
        <f t="shared" si="998"/>
        <v>n/a</v>
      </c>
      <c r="T197" s="173" t="str">
        <f t="shared" si="998"/>
        <v>n/a</v>
      </c>
      <c r="U197" s="173" t="str">
        <f t="shared" si="998"/>
        <v>n/a</v>
      </c>
      <c r="V197" s="173" t="str">
        <f t="shared" si="998"/>
        <v>n/a</v>
      </c>
      <c r="W197" s="173" t="str">
        <f t="shared" si="998"/>
        <v>n/a</v>
      </c>
      <c r="X197" s="173" t="str">
        <f t="shared" si="998"/>
        <v>n/a</v>
      </c>
      <c r="Y197" s="173" t="str">
        <f t="shared" si="998"/>
        <v>n/a</v>
      </c>
      <c r="Z197" s="173" t="str">
        <f t="shared" si="998"/>
        <v>n/a</v>
      </c>
      <c r="AA197" s="173" t="str">
        <f t="shared" si="998"/>
        <v>n/a</v>
      </c>
      <c r="AB197" s="173">
        <f t="shared" si="998"/>
        <v>2.3278441323516939</v>
      </c>
      <c r="AC197" s="173">
        <f t="shared" si="998"/>
        <v>2.0919233190187598</v>
      </c>
      <c r="AD197" s="173">
        <f t="shared" si="998"/>
        <v>3.2365545591870788</v>
      </c>
      <c r="AE197" s="173">
        <f t="shared" si="998"/>
        <v>0.40050600065672026</v>
      </c>
      <c r="AF197" s="173">
        <f t="shared" si="998"/>
        <v>0.22936652110705635</v>
      </c>
      <c r="AG197" s="173">
        <f t="shared" si="998"/>
        <v>8.9298624669336801E-2</v>
      </c>
      <c r="AH197" s="173">
        <f t="shared" si="998"/>
        <v>8.0000000000000293E-2</v>
      </c>
      <c r="AI197" s="173">
        <f t="shared" ref="AI197:AJ197" si="1005">+IFERROR(AI187/AH187-1,"n/a")</f>
        <v>0.10000000000000009</v>
      </c>
      <c r="AJ197" s="173">
        <f t="shared" si="1005"/>
        <v>-9.5887516476538703E-2</v>
      </c>
      <c r="AK197" s="173">
        <f t="shared" si="1000"/>
        <v>0.21033180518815175</v>
      </c>
      <c r="AL197" s="173">
        <f t="shared" si="1001"/>
        <v>8.0000000000000071E-2</v>
      </c>
      <c r="AM197" s="173">
        <f t="shared" si="1002"/>
        <v>0.10000000000000031</v>
      </c>
      <c r="AP197" s="173"/>
      <c r="AQ197" s="173"/>
      <c r="AR197" s="173"/>
      <c r="AS197" s="173"/>
      <c r="AT197" s="173"/>
      <c r="AU197" s="173"/>
      <c r="AV197" s="173"/>
      <c r="AW197" s="173"/>
      <c r="AX197" s="173"/>
    </row>
    <row r="199" spans="2:50" x14ac:dyDescent="0.2">
      <c r="B199" s="24" t="s">
        <v>381</v>
      </c>
    </row>
    <row r="200" spans="2:50" x14ac:dyDescent="0.2">
      <c r="B200" s="184" t="s">
        <v>225</v>
      </c>
      <c r="H200" s="10">
        <f t="shared" ref="H200:AE200" si="1006">+H126</f>
        <v>1108.0999999999999</v>
      </c>
      <c r="I200" s="10">
        <f t="shared" si="1006"/>
        <v>2370.9520000000002</v>
      </c>
      <c r="J200" s="10">
        <f t="shared" si="1006"/>
        <v>2974.145</v>
      </c>
      <c r="K200" s="10">
        <f t="shared" si="1006"/>
        <v>5062.3779999999997</v>
      </c>
      <c r="L200" s="10">
        <f t="shared" si="1006"/>
        <v>3948.4140000000002</v>
      </c>
      <c r="M200" s="10">
        <f t="shared" si="1006"/>
        <v>6467.0730000000003</v>
      </c>
      <c r="N200" s="10">
        <f t="shared" si="1006"/>
        <v>6711.4549999999999</v>
      </c>
      <c r="O200" s="10">
        <f t="shared" si="1006"/>
        <v>9686.6990000000005</v>
      </c>
      <c r="P200" s="10">
        <f t="shared" si="1006"/>
        <v>5492.27</v>
      </c>
      <c r="Q200" s="10">
        <f t="shared" si="1006"/>
        <v>11054.698</v>
      </c>
      <c r="R200" s="10">
        <f t="shared" si="1006"/>
        <v>12484.835999999999</v>
      </c>
      <c r="S200" s="10">
        <f t="shared" si="1006"/>
        <v>18921.974999999999</v>
      </c>
      <c r="T200" s="10">
        <f t="shared" si="1006"/>
        <v>14111.486000000001</v>
      </c>
      <c r="U200" s="10">
        <f t="shared" si="1006"/>
        <v>18080.419000000002</v>
      </c>
      <c r="V200" s="10">
        <f t="shared" si="1006"/>
        <v>17946.495999999999</v>
      </c>
      <c r="W200" s="10">
        <f t="shared" si="1006"/>
        <v>22425.001000000004</v>
      </c>
      <c r="X200" s="10">
        <f t="shared" si="1006"/>
        <v>18158.424999999999</v>
      </c>
      <c r="Y200" s="10">
        <f t="shared" si="1006"/>
        <v>25172.651000000002</v>
      </c>
      <c r="Z200" s="10">
        <f t="shared" si="1006"/>
        <v>28425.645</v>
      </c>
      <c r="AA200" s="10">
        <f t="shared" si="1006"/>
        <v>30965.202999999994</v>
      </c>
      <c r="AB200" s="10">
        <f t="shared" si="1006"/>
        <v>27244.425999999999</v>
      </c>
      <c r="AC200" s="10">
        <f t="shared" si="1006"/>
        <v>37932.830999999998</v>
      </c>
      <c r="AD200" s="10">
        <f t="shared" si="1006"/>
        <v>39687.678</v>
      </c>
      <c r="AE200" s="10">
        <f t="shared" si="1006"/>
        <v>48675.618000000002</v>
      </c>
      <c r="AF200" s="10">
        <f t="shared" ref="AF200:AG200" si="1007">+AF126</f>
        <v>42456.243000000002</v>
      </c>
      <c r="AG200" s="10">
        <f t="shared" si="1007"/>
        <v>49115.866000000002</v>
      </c>
      <c r="AH200" s="10">
        <f t="shared" ref="AH200" si="1008">+AH126</f>
        <v>49351.021999999997</v>
      </c>
      <c r="AI200" s="10">
        <f t="shared" ref="AI200:AI201" si="1009">+IFERROR(AI149+AI170+AI185,"n/a")</f>
        <v>56453.027685972425</v>
      </c>
      <c r="AJ200" s="10">
        <f t="shared" ref="AJ200:AM200" si="1010">+IFERROR(AJ149+AJ170+AJ185,"n/a")</f>
        <v>46844.262849690873</v>
      </c>
      <c r="AK200" s="10">
        <f t="shared" si="1010"/>
        <v>53606.288802990195</v>
      </c>
      <c r="AL200" s="10">
        <f t="shared" si="1010"/>
        <v>57216.217753694997</v>
      </c>
      <c r="AM200" s="10">
        <f t="shared" si="1010"/>
        <v>65450.087840855049</v>
      </c>
      <c r="AO200" s="10">
        <f>+AO126</f>
        <v>0</v>
      </c>
      <c r="AP200" s="10">
        <f>+AP126</f>
        <v>1209.2750000000001</v>
      </c>
      <c r="AQ200" s="14">
        <f t="shared" ref="AQ200:AQ205" si="1011">+SUM(H200:K200)</f>
        <v>11515.575000000001</v>
      </c>
      <c r="AR200" s="14">
        <f t="shared" ref="AR200:AR205" si="1012">+SUM(L200:O200)</f>
        <v>26813.641000000003</v>
      </c>
      <c r="AS200" s="14">
        <f t="shared" ref="AS200:AS205" si="1013">+SUM(P200:S200)</f>
        <v>47953.778999999995</v>
      </c>
      <c r="AT200" s="14">
        <f t="shared" ref="AT200:AT205" si="1014">+SUM(T200:W200)</f>
        <v>72563.402000000002</v>
      </c>
      <c r="AU200" s="14">
        <f t="shared" ref="AU200:AU205" si="1015">+SUM(X200:AA200)</f>
        <v>102721.924</v>
      </c>
      <c r="AV200" s="14">
        <f t="shared" ref="AV200:AV205" si="1016">+SUM(AB200:AE200)</f>
        <v>153540.55300000001</v>
      </c>
      <c r="AW200" s="10">
        <f>+SUM(AF200:AI200)</f>
        <v>197376.15868597242</v>
      </c>
      <c r="AX200" s="14">
        <f>+SUM(AJ200:AM200)</f>
        <v>223116.85724723112</v>
      </c>
    </row>
    <row r="201" spans="2:50" ht="13.5" x14ac:dyDescent="0.35">
      <c r="B201" s="184" t="s">
        <v>226</v>
      </c>
      <c r="H201" s="25">
        <f t="shared" ref="H201:AE201" si="1017">+H127</f>
        <v>276.50400000000002</v>
      </c>
      <c r="I201" s="25">
        <f t="shared" si="1017"/>
        <v>338.09399999999999</v>
      </c>
      <c r="J201" s="25">
        <f t="shared" si="1017"/>
        <v>398.27300000000002</v>
      </c>
      <c r="K201" s="25">
        <f t="shared" si="1017"/>
        <v>591.54399999999998</v>
      </c>
      <c r="L201" s="25">
        <f t="shared" si="1017"/>
        <v>596.79</v>
      </c>
      <c r="M201" s="25">
        <f t="shared" si="1017"/>
        <v>822.93499999999995</v>
      </c>
      <c r="N201" s="25">
        <f t="shared" si="1017"/>
        <v>802.49300000000005</v>
      </c>
      <c r="O201" s="25">
        <f t="shared" si="1017"/>
        <v>1106.027</v>
      </c>
      <c r="P201" s="25">
        <f t="shared" si="1017"/>
        <v>1048.789</v>
      </c>
      <c r="Q201" s="25">
        <f t="shared" si="1017"/>
        <v>1138.617</v>
      </c>
      <c r="R201" s="25">
        <f t="shared" si="1017"/>
        <v>1332.124</v>
      </c>
      <c r="S201" s="25">
        <f t="shared" si="1017"/>
        <v>2267.8850000000002</v>
      </c>
      <c r="T201" s="25">
        <f t="shared" si="1017"/>
        <v>2931.4749999999999</v>
      </c>
      <c r="U201" s="25">
        <f t="shared" si="1017"/>
        <v>3007.6379999999999</v>
      </c>
      <c r="V201" s="25">
        <f t="shared" si="1017"/>
        <v>3477.1469999999999</v>
      </c>
      <c r="W201" s="25">
        <f t="shared" si="1017"/>
        <v>4724.1890000000021</v>
      </c>
      <c r="X201" s="25">
        <f t="shared" si="1017"/>
        <v>5591.4070000000002</v>
      </c>
      <c r="Y201" s="25">
        <f t="shared" si="1017"/>
        <v>6216.2070000000003</v>
      </c>
      <c r="Z201" s="25">
        <f t="shared" si="1017"/>
        <v>7022.2520000000004</v>
      </c>
      <c r="AA201" s="25">
        <f t="shared" si="1017"/>
        <v>8796.627999999997</v>
      </c>
      <c r="AB201" s="25">
        <f t="shared" si="1017"/>
        <v>10392.624</v>
      </c>
      <c r="AC201" s="25">
        <f t="shared" si="1017"/>
        <v>14347.916999999999</v>
      </c>
      <c r="AD201" s="25">
        <f t="shared" si="1017"/>
        <v>29152.692999999999</v>
      </c>
      <c r="AE201" s="25">
        <f t="shared" si="1017"/>
        <v>40205.417999999998</v>
      </c>
      <c r="AF201" s="25">
        <f t="shared" ref="AF201:AG201" si="1018">+AF127</f>
        <v>44355.815999999999</v>
      </c>
      <c r="AG201" s="25">
        <f t="shared" si="1018"/>
        <v>47943.665000000001</v>
      </c>
      <c r="AH201" s="25">
        <f t="shared" ref="AH201" si="1019">+AH127</f>
        <v>50003.379000000001</v>
      </c>
      <c r="AI201" s="25">
        <f t="shared" si="1009"/>
        <v>53417.272639007722</v>
      </c>
      <c r="AJ201" s="25">
        <f t="shared" ref="AJ201:AM201" si="1020">+IFERROR(AJ150+AJ171+AJ186,"n/a")</f>
        <v>48507.888128909763</v>
      </c>
      <c r="AK201" s="25">
        <f t="shared" si="1020"/>
        <v>57578.489654283505</v>
      </c>
      <c r="AL201" s="25">
        <f t="shared" si="1020"/>
        <v>61885.248186597302</v>
      </c>
      <c r="AM201" s="25">
        <f t="shared" si="1020"/>
        <v>67418.576696802018</v>
      </c>
      <c r="AO201" s="25">
        <f>+AO127</f>
        <v>48.276000000000003</v>
      </c>
      <c r="AP201" s="25">
        <f>+AP127</f>
        <v>531.41600000000005</v>
      </c>
      <c r="AQ201" s="36">
        <f t="shared" si="1011"/>
        <v>1604.415</v>
      </c>
      <c r="AR201" s="36">
        <f t="shared" si="1012"/>
        <v>3328.2449999999999</v>
      </c>
      <c r="AS201" s="36">
        <f t="shared" si="1013"/>
        <v>5787.415</v>
      </c>
      <c r="AT201" s="36">
        <f t="shared" si="1014"/>
        <v>14140.449000000001</v>
      </c>
      <c r="AU201" s="36">
        <f t="shared" si="1015"/>
        <v>27626.493999999999</v>
      </c>
      <c r="AV201" s="36">
        <f t="shared" si="1016"/>
        <v>94098.652000000002</v>
      </c>
      <c r="AW201" s="25">
        <f>+SUM(AF201:AI201)</f>
        <v>195720.1326390077</v>
      </c>
      <c r="AX201" s="36">
        <f t="shared" ref="AX201:AX204" si="1021">+SUM(AJ201:AM201)</f>
        <v>235390.20266659258</v>
      </c>
    </row>
    <row r="202" spans="2:50" x14ac:dyDescent="0.2">
      <c r="B202" s="4" t="s">
        <v>223</v>
      </c>
      <c r="H202" s="10">
        <f>IFERROR(H200+H201,"n/a")</f>
        <v>1384.6039999999998</v>
      </c>
      <c r="I202" s="10">
        <f t="shared" ref="I202:AE202" si="1022">IFERROR(I200+I201,"n/a")</f>
        <v>2709.0460000000003</v>
      </c>
      <c r="J202" s="10">
        <f t="shared" si="1022"/>
        <v>3372.4180000000001</v>
      </c>
      <c r="K202" s="10">
        <f t="shared" si="1022"/>
        <v>5653.9219999999996</v>
      </c>
      <c r="L202" s="10">
        <f t="shared" si="1022"/>
        <v>4545.2039999999997</v>
      </c>
      <c r="M202" s="10">
        <f t="shared" si="1022"/>
        <v>7290.0079999999998</v>
      </c>
      <c r="N202" s="10">
        <f t="shared" si="1022"/>
        <v>7513.9480000000003</v>
      </c>
      <c r="O202" s="10">
        <f t="shared" si="1022"/>
        <v>10792.726000000001</v>
      </c>
      <c r="P202" s="10">
        <f t="shared" si="1022"/>
        <v>6541.0590000000002</v>
      </c>
      <c r="Q202" s="10">
        <f t="shared" si="1022"/>
        <v>12193.315000000001</v>
      </c>
      <c r="R202" s="10">
        <f t="shared" si="1022"/>
        <v>13816.96</v>
      </c>
      <c r="S202" s="10">
        <f t="shared" si="1022"/>
        <v>21189.86</v>
      </c>
      <c r="T202" s="10">
        <f t="shared" si="1022"/>
        <v>17042.960999999999</v>
      </c>
      <c r="U202" s="10">
        <f t="shared" si="1022"/>
        <v>21088.057000000001</v>
      </c>
      <c r="V202" s="10">
        <f t="shared" si="1022"/>
        <v>21423.643</v>
      </c>
      <c r="W202" s="10">
        <f t="shared" si="1022"/>
        <v>27149.190000000006</v>
      </c>
      <c r="X202" s="10">
        <f t="shared" si="1022"/>
        <v>23749.831999999999</v>
      </c>
      <c r="Y202" s="10">
        <f t="shared" si="1022"/>
        <v>31388.858</v>
      </c>
      <c r="Z202" s="10">
        <f t="shared" si="1022"/>
        <v>35447.896999999997</v>
      </c>
      <c r="AA202" s="10">
        <f t="shared" si="1022"/>
        <v>39761.830999999991</v>
      </c>
      <c r="AB202" s="10">
        <f t="shared" si="1022"/>
        <v>37637.050000000003</v>
      </c>
      <c r="AC202" s="10">
        <f t="shared" si="1022"/>
        <v>52280.748</v>
      </c>
      <c r="AD202" s="10">
        <f t="shared" si="1022"/>
        <v>68840.370999999999</v>
      </c>
      <c r="AE202" s="10">
        <f t="shared" si="1022"/>
        <v>88881.035999999993</v>
      </c>
      <c r="AF202" s="10">
        <f t="shared" ref="AF202:AG202" si="1023">IFERROR(AF200+AF201,"n/a")</f>
        <v>86812.059000000008</v>
      </c>
      <c r="AG202" s="10">
        <f t="shared" si="1023"/>
        <v>97059.531000000003</v>
      </c>
      <c r="AH202" s="10">
        <f t="shared" ref="AH202" si="1024">IFERROR(AH200+AH201,"n/a")</f>
        <v>99354.400999999998</v>
      </c>
      <c r="AI202" s="10">
        <f t="shared" ref="AI202:AJ202" si="1025">IFERROR(AI200+AI201,"n/a")</f>
        <v>109870.30032498014</v>
      </c>
      <c r="AJ202" s="10">
        <f t="shared" si="1025"/>
        <v>95352.150978600635</v>
      </c>
      <c r="AK202" s="10">
        <f t="shared" ref="AK202:AM202" si="1026">IFERROR(AK200+AK201,"n/a")</f>
        <v>111184.7784572737</v>
      </c>
      <c r="AL202" s="10">
        <f t="shared" si="1026"/>
        <v>119101.4659402923</v>
      </c>
      <c r="AM202" s="10">
        <f t="shared" si="1026"/>
        <v>132868.66453765705</v>
      </c>
      <c r="AO202" s="10">
        <f>IFERROR(AO200+AO201,"n/a")</f>
        <v>48.276000000000003</v>
      </c>
      <c r="AP202" s="10">
        <f>IFERROR(AP200+AP201,"n/a")</f>
        <v>1740.6910000000003</v>
      </c>
      <c r="AQ202" s="10">
        <f t="shared" si="1011"/>
        <v>13119.99</v>
      </c>
      <c r="AR202" s="10">
        <f t="shared" si="1012"/>
        <v>30141.885999999999</v>
      </c>
      <c r="AS202" s="10">
        <f t="shared" si="1013"/>
        <v>53741.194000000003</v>
      </c>
      <c r="AT202" s="10">
        <f t="shared" si="1014"/>
        <v>86703.850999999995</v>
      </c>
      <c r="AU202" s="10">
        <f t="shared" si="1015"/>
        <v>130348.41799999999</v>
      </c>
      <c r="AV202" s="10">
        <f t="shared" si="1016"/>
        <v>247639.20499999999</v>
      </c>
      <c r="AW202" s="10">
        <f>+SUM(AF202:AI202)</f>
        <v>393096.29132498021</v>
      </c>
      <c r="AX202" s="10">
        <f t="shared" si="1021"/>
        <v>458507.05991382367</v>
      </c>
    </row>
    <row r="203" spans="2:50" ht="13.5" x14ac:dyDescent="0.35">
      <c r="B203" s="184" t="s">
        <v>222</v>
      </c>
      <c r="H203" s="25">
        <f t="shared" ref="H203:AE203" si="1027">+H129</f>
        <v>0</v>
      </c>
      <c r="I203" s="25">
        <f t="shared" si="1027"/>
        <v>0</v>
      </c>
      <c r="J203" s="25">
        <f t="shared" si="1027"/>
        <v>0</v>
      </c>
      <c r="K203" s="25">
        <f t="shared" si="1027"/>
        <v>0</v>
      </c>
      <c r="L203" s="25">
        <f t="shared" si="1027"/>
        <v>0</v>
      </c>
      <c r="M203" s="25">
        <f t="shared" si="1027"/>
        <v>0</v>
      </c>
      <c r="N203" s="25">
        <f t="shared" si="1027"/>
        <v>0</v>
      </c>
      <c r="O203" s="25">
        <f t="shared" si="1027"/>
        <v>0</v>
      </c>
      <c r="P203" s="25">
        <f t="shared" si="1027"/>
        <v>0</v>
      </c>
      <c r="Q203" s="25">
        <f t="shared" si="1027"/>
        <v>0</v>
      </c>
      <c r="R203" s="25">
        <f t="shared" si="1027"/>
        <v>392.822</v>
      </c>
      <c r="S203" s="25">
        <f t="shared" si="1027"/>
        <v>5357.8490000000002</v>
      </c>
      <c r="T203" s="25">
        <f t="shared" si="1027"/>
        <v>5124.1379999999999</v>
      </c>
      <c r="U203" s="25">
        <f t="shared" si="1027"/>
        <v>1958.163</v>
      </c>
      <c r="V203" s="25">
        <f t="shared" si="1027"/>
        <v>82.114999999999995</v>
      </c>
      <c r="W203" s="25">
        <f t="shared" si="1027"/>
        <v>81.67200000000048</v>
      </c>
      <c r="X203" s="25">
        <f t="shared" si="1027"/>
        <v>43.856999999999999</v>
      </c>
      <c r="Y203" s="25">
        <f t="shared" si="1027"/>
        <v>50.71</v>
      </c>
      <c r="Z203" s="25">
        <f t="shared" si="1027"/>
        <v>56.406999999999996</v>
      </c>
      <c r="AA203" s="25">
        <f t="shared" si="1027"/>
        <v>58.197000000000003</v>
      </c>
      <c r="AB203" s="25">
        <f t="shared" si="1027"/>
        <v>0</v>
      </c>
      <c r="AC203" s="25">
        <f t="shared" si="1027"/>
        <v>0</v>
      </c>
      <c r="AD203" s="25">
        <f t="shared" si="1027"/>
        <v>0</v>
      </c>
      <c r="AE203" s="25">
        <f t="shared" si="1027"/>
        <v>0</v>
      </c>
      <c r="AF203" s="25">
        <f t="shared" ref="AF203:AG203" si="1028">+AF129</f>
        <v>0</v>
      </c>
      <c r="AG203" s="25">
        <f t="shared" si="1028"/>
        <v>0</v>
      </c>
      <c r="AH203" s="25">
        <f t="shared" ref="AH203" si="1029">+AH129</f>
        <v>0</v>
      </c>
      <c r="AI203" s="25">
        <f t="shared" ref="AI203" si="1030">+AI152</f>
        <v>0</v>
      </c>
      <c r="AJ203" s="25">
        <f t="shared" ref="AJ203:AM203" si="1031">+AJ152</f>
        <v>0</v>
      </c>
      <c r="AK203" s="25">
        <f t="shared" si="1031"/>
        <v>0</v>
      </c>
      <c r="AL203" s="25">
        <f t="shared" si="1031"/>
        <v>0</v>
      </c>
      <c r="AM203" s="25">
        <f t="shared" si="1031"/>
        <v>0</v>
      </c>
      <c r="AO203" s="25">
        <f>+AO129</f>
        <v>456.58800000000002</v>
      </c>
      <c r="AP203" s="25">
        <f>+AP129</f>
        <v>3.3849999999999998</v>
      </c>
      <c r="AQ203" s="36">
        <f t="shared" si="1011"/>
        <v>0</v>
      </c>
      <c r="AR203" s="36">
        <f t="shared" si="1012"/>
        <v>0</v>
      </c>
      <c r="AS203" s="36">
        <f t="shared" si="1013"/>
        <v>5750.6710000000003</v>
      </c>
      <c r="AT203" s="36">
        <f t="shared" si="1014"/>
        <v>7246.0879999999997</v>
      </c>
      <c r="AU203" s="36">
        <f t="shared" si="1015"/>
        <v>209.17099999999999</v>
      </c>
      <c r="AV203" s="36">
        <f t="shared" si="1016"/>
        <v>0</v>
      </c>
      <c r="AW203" s="25">
        <f>+SUM(AF203:AI203)</f>
        <v>0</v>
      </c>
      <c r="AX203" s="36">
        <f t="shared" si="1021"/>
        <v>0</v>
      </c>
    </row>
    <row r="204" spans="2:50" s="1" customFormat="1" x14ac:dyDescent="0.2">
      <c r="B204" s="38" t="s">
        <v>224</v>
      </c>
      <c r="H204" s="42">
        <f>IFERROR(H202+H203,"n/a")</f>
        <v>1384.6039999999998</v>
      </c>
      <c r="I204" s="42">
        <f t="shared" ref="I204:AE204" si="1032">IFERROR(I202+I203,"n/a")</f>
        <v>2709.0460000000003</v>
      </c>
      <c r="J204" s="42">
        <f t="shared" si="1032"/>
        <v>3372.4180000000001</v>
      </c>
      <c r="K204" s="42">
        <f t="shared" si="1032"/>
        <v>5653.9219999999996</v>
      </c>
      <c r="L204" s="42">
        <f t="shared" si="1032"/>
        <v>4545.2039999999997</v>
      </c>
      <c r="M204" s="42">
        <f t="shared" si="1032"/>
        <v>7290.0079999999998</v>
      </c>
      <c r="N204" s="42">
        <f t="shared" si="1032"/>
        <v>7513.9480000000003</v>
      </c>
      <c r="O204" s="42">
        <f t="shared" si="1032"/>
        <v>10792.726000000001</v>
      </c>
      <c r="P204" s="42">
        <f t="shared" si="1032"/>
        <v>6541.0590000000002</v>
      </c>
      <c r="Q204" s="42">
        <f t="shared" si="1032"/>
        <v>12193.315000000001</v>
      </c>
      <c r="R204" s="42">
        <f t="shared" si="1032"/>
        <v>14209.781999999999</v>
      </c>
      <c r="S204" s="42">
        <f t="shared" si="1032"/>
        <v>26547.709000000003</v>
      </c>
      <c r="T204" s="42">
        <f t="shared" si="1032"/>
        <v>22167.098999999998</v>
      </c>
      <c r="U204" s="42">
        <f t="shared" si="1032"/>
        <v>23046.22</v>
      </c>
      <c r="V204" s="42">
        <f t="shared" si="1032"/>
        <v>21505.758000000002</v>
      </c>
      <c r="W204" s="42">
        <f t="shared" si="1032"/>
        <v>27230.862000000008</v>
      </c>
      <c r="X204" s="42">
        <f t="shared" si="1032"/>
        <v>23793.688999999998</v>
      </c>
      <c r="Y204" s="42">
        <f t="shared" si="1032"/>
        <v>31439.567999999999</v>
      </c>
      <c r="Z204" s="42">
        <f t="shared" si="1032"/>
        <v>35504.303999999996</v>
      </c>
      <c r="AA204" s="42">
        <f t="shared" si="1032"/>
        <v>39820.027999999991</v>
      </c>
      <c r="AB204" s="42">
        <f t="shared" si="1032"/>
        <v>37637.050000000003</v>
      </c>
      <c r="AC204" s="42">
        <f t="shared" si="1032"/>
        <v>52280.748</v>
      </c>
      <c r="AD204" s="42">
        <f t="shared" si="1032"/>
        <v>68840.370999999999</v>
      </c>
      <c r="AE204" s="42">
        <f t="shared" si="1032"/>
        <v>88881.035999999993</v>
      </c>
      <c r="AF204" s="42">
        <f t="shared" ref="AF204:AG204" si="1033">IFERROR(AF202+AF203,"n/a")</f>
        <v>86812.059000000008</v>
      </c>
      <c r="AG204" s="42">
        <f t="shared" si="1033"/>
        <v>97059.531000000003</v>
      </c>
      <c r="AH204" s="42">
        <f t="shared" ref="AH204" si="1034">IFERROR(AH202+AH203,"n/a")</f>
        <v>99354.400999999998</v>
      </c>
      <c r="AI204" s="42">
        <f t="shared" ref="AI204:AJ204" si="1035">IFERROR(AI202+AI203,"n/a")</f>
        <v>109870.30032498014</v>
      </c>
      <c r="AJ204" s="42">
        <f t="shared" si="1035"/>
        <v>95352.150978600635</v>
      </c>
      <c r="AK204" s="42">
        <f t="shared" ref="AK204:AM204" si="1036">IFERROR(AK202+AK203,"n/a")</f>
        <v>111184.7784572737</v>
      </c>
      <c r="AL204" s="42">
        <f t="shared" si="1036"/>
        <v>119101.4659402923</v>
      </c>
      <c r="AM204" s="42">
        <f t="shared" si="1036"/>
        <v>132868.66453765705</v>
      </c>
      <c r="AO204" s="42">
        <f>IFERROR(AO202+AO203,"n/a")</f>
        <v>504.86400000000003</v>
      </c>
      <c r="AP204" s="42">
        <f>IFERROR(AP202+AP203,"n/a")</f>
        <v>1744.0760000000002</v>
      </c>
      <c r="AQ204" s="48">
        <f t="shared" si="1011"/>
        <v>13119.99</v>
      </c>
      <c r="AR204" s="48">
        <f t="shared" si="1012"/>
        <v>30141.885999999999</v>
      </c>
      <c r="AS204" s="48">
        <f t="shared" si="1013"/>
        <v>59491.865000000005</v>
      </c>
      <c r="AT204" s="48">
        <f t="shared" si="1014"/>
        <v>93949.939000000013</v>
      </c>
      <c r="AU204" s="48">
        <f t="shared" si="1015"/>
        <v>130557.58899999998</v>
      </c>
      <c r="AV204" s="48">
        <f t="shared" si="1016"/>
        <v>247639.20499999999</v>
      </c>
      <c r="AW204" s="42">
        <f>+SUM(AF204:AI204)</f>
        <v>393096.29132498021</v>
      </c>
      <c r="AX204" s="48">
        <f t="shared" si="1021"/>
        <v>458507.05991382367</v>
      </c>
    </row>
    <row r="205" spans="2:50" s="1" customFormat="1" x14ac:dyDescent="0.2">
      <c r="B205" s="38"/>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Q205" s="179">
        <f t="shared" si="1011"/>
        <v>0</v>
      </c>
      <c r="AR205" s="179">
        <f t="shared" si="1012"/>
        <v>0</v>
      </c>
      <c r="AS205" s="179">
        <f t="shared" si="1013"/>
        <v>0</v>
      </c>
      <c r="AT205" s="179">
        <f t="shared" si="1014"/>
        <v>0</v>
      </c>
      <c r="AU205" s="179">
        <f t="shared" si="1015"/>
        <v>0</v>
      </c>
      <c r="AV205" s="179">
        <f t="shared" si="1016"/>
        <v>0</v>
      </c>
    </row>
    <row r="206" spans="2:50" s="1" customFormat="1" x14ac:dyDescent="0.2">
      <c r="B206" s="19" t="s">
        <v>85</v>
      </c>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row>
    <row r="207" spans="2:50" s="1" customFormat="1" x14ac:dyDescent="0.2">
      <c r="B207" s="20" t="s">
        <v>225</v>
      </c>
      <c r="H207" s="42"/>
      <c r="I207" s="42"/>
      <c r="J207" s="42"/>
      <c r="K207" s="42"/>
      <c r="L207" s="173">
        <f t="shared" ref="L207:U211" si="1037">+IFERROR(L200/H200-1,"n/a")</f>
        <v>2.5632289504557355</v>
      </c>
      <c r="M207" s="173">
        <f t="shared" si="1037"/>
        <v>1.7276271303678858</v>
      </c>
      <c r="N207" s="173">
        <f t="shared" si="1037"/>
        <v>1.2565997959077313</v>
      </c>
      <c r="O207" s="173">
        <f t="shared" si="1037"/>
        <v>0.91346813691115147</v>
      </c>
      <c r="P207" s="173">
        <f t="shared" si="1037"/>
        <v>0.39100661683399962</v>
      </c>
      <c r="Q207" s="173">
        <f t="shared" si="1037"/>
        <v>0.7093819723389545</v>
      </c>
      <c r="R207" s="173">
        <f t="shared" si="1037"/>
        <v>0.86022792375125801</v>
      </c>
      <c r="S207" s="173">
        <f t="shared" si="1037"/>
        <v>0.95339764351096257</v>
      </c>
      <c r="T207" s="173">
        <f t="shared" si="1037"/>
        <v>1.5693358119684575</v>
      </c>
      <c r="U207" s="173">
        <f t="shared" si="1037"/>
        <v>0.63554164935125335</v>
      </c>
      <c r="V207" s="173">
        <f t="shared" ref="V207:AH211" si="1038">+IFERROR(V200/R200-1,"n/a")</f>
        <v>0.43746349571592291</v>
      </c>
      <c r="W207" s="173">
        <f t="shared" si="1038"/>
        <v>0.18513004060094174</v>
      </c>
      <c r="X207" s="173">
        <f t="shared" si="1038"/>
        <v>0.28678333380339938</v>
      </c>
      <c r="Y207" s="173">
        <f t="shared" si="1038"/>
        <v>0.39226037847906059</v>
      </c>
      <c r="Z207" s="173">
        <f t="shared" si="1038"/>
        <v>0.58391058622251402</v>
      </c>
      <c r="AA207" s="173">
        <f t="shared" si="1038"/>
        <v>0.3808339629505475</v>
      </c>
      <c r="AB207" s="173">
        <f t="shared" si="1038"/>
        <v>0.50037384850282995</v>
      </c>
      <c r="AC207" s="173">
        <f t="shared" si="1038"/>
        <v>0.50690648354835566</v>
      </c>
      <c r="AD207" s="173">
        <f t="shared" si="1038"/>
        <v>0.39619269852979588</v>
      </c>
      <c r="AE207" s="173">
        <f t="shared" si="1038"/>
        <v>0.57194570951141555</v>
      </c>
      <c r="AF207" s="173">
        <f t="shared" si="1038"/>
        <v>0.55834602644959386</v>
      </c>
      <c r="AG207" s="173">
        <f t="shared" si="1038"/>
        <v>0.29481150510490517</v>
      </c>
      <c r="AH207" s="173">
        <f t="shared" si="1038"/>
        <v>0.24348474103221651</v>
      </c>
      <c r="AI207" s="173">
        <f t="shared" ref="AI207:AJ207" si="1039">+IFERROR(AI200/AE200-1,"n/a")</f>
        <v>0.15978039941829647</v>
      </c>
      <c r="AJ207" s="173">
        <f t="shared" si="1039"/>
        <v>0.10335393665640336</v>
      </c>
      <c r="AK207" s="173">
        <f t="shared" ref="AK207:AK211" si="1040">+IFERROR(AK200/AG200-1,"n/a")</f>
        <v>9.1425096790316074E-2</v>
      </c>
      <c r="AL207" s="173">
        <f t="shared" ref="AL207:AL211" si="1041">+IFERROR(AL200/AH200-1,"n/a")</f>
        <v>0.15937249999999992</v>
      </c>
      <c r="AM207" s="173">
        <f t="shared" ref="AM207:AM211" si="1042">+IFERROR(AM200/AI200-1,"n/a")</f>
        <v>0.15937249999999969</v>
      </c>
      <c r="AP207" s="173" t="str">
        <f>+IFERROR(AP200/AO200-1,"n/a")</f>
        <v>n/a</v>
      </c>
      <c r="AQ207" s="173">
        <f t="shared" ref="AQ207:AV207" si="1043">+IFERROR(AQ200/AP200-1,"n/a")</f>
        <v>8.5227098881561272</v>
      </c>
      <c r="AR207" s="173">
        <f t="shared" si="1043"/>
        <v>1.3284674017580538</v>
      </c>
      <c r="AS207" s="173">
        <f t="shared" si="1043"/>
        <v>0.78840982468587506</v>
      </c>
      <c r="AT207" s="173">
        <f t="shared" si="1043"/>
        <v>0.51319465354336335</v>
      </c>
      <c r="AU207" s="173">
        <f t="shared" si="1043"/>
        <v>0.41561615316768075</v>
      </c>
      <c r="AV207" s="173">
        <f t="shared" si="1043"/>
        <v>0.49472037731692042</v>
      </c>
      <c r="AW207" s="173">
        <f t="shared" ref="AW207:AX207" si="1044">+IFERROR(AW200/AV200-1,"n/a")</f>
        <v>0.28549855285445269</v>
      </c>
      <c r="AX207" s="173">
        <f t="shared" si="1044"/>
        <v>0.13041442660869906</v>
      </c>
    </row>
    <row r="208" spans="2:50" s="1" customFormat="1" ht="13.5" x14ac:dyDescent="0.35">
      <c r="B208" s="20" t="s">
        <v>226</v>
      </c>
      <c r="H208" s="42"/>
      <c r="I208" s="42"/>
      <c r="J208" s="42"/>
      <c r="K208" s="42"/>
      <c r="L208" s="180">
        <f t="shared" si="1037"/>
        <v>1.1583412898185919</v>
      </c>
      <c r="M208" s="180">
        <f t="shared" si="1037"/>
        <v>1.4340420119848325</v>
      </c>
      <c r="N208" s="180">
        <f t="shared" si="1037"/>
        <v>1.014931968775187</v>
      </c>
      <c r="O208" s="180">
        <f t="shared" si="1037"/>
        <v>0.86972904805052553</v>
      </c>
      <c r="P208" s="180">
        <f t="shared" si="1037"/>
        <v>0.75738366929740786</v>
      </c>
      <c r="Q208" s="180">
        <f t="shared" si="1037"/>
        <v>0.38360502348302128</v>
      </c>
      <c r="R208" s="180">
        <f t="shared" si="1037"/>
        <v>0.65998208084058052</v>
      </c>
      <c r="S208" s="180">
        <f t="shared" si="1037"/>
        <v>1.0504788761938002</v>
      </c>
      <c r="T208" s="180">
        <f t="shared" si="1037"/>
        <v>1.7951046397321102</v>
      </c>
      <c r="U208" s="180">
        <f t="shared" si="1037"/>
        <v>1.6414834839107444</v>
      </c>
      <c r="V208" s="180">
        <f t="shared" si="1038"/>
        <v>1.6102277265479787</v>
      </c>
      <c r="W208" s="180">
        <f t="shared" si="1038"/>
        <v>1.0830813731736848</v>
      </c>
      <c r="X208" s="180">
        <f t="shared" si="1038"/>
        <v>0.90736983941531157</v>
      </c>
      <c r="Y208" s="180">
        <f t="shared" si="1038"/>
        <v>1.0668069096081378</v>
      </c>
      <c r="Z208" s="180">
        <f t="shared" si="1038"/>
        <v>1.0195441837805537</v>
      </c>
      <c r="AA208" s="180">
        <f t="shared" si="1038"/>
        <v>0.86203981254771844</v>
      </c>
      <c r="AB208" s="180">
        <f t="shared" si="1038"/>
        <v>0.85867778897154134</v>
      </c>
      <c r="AC208" s="180">
        <f t="shared" si="1038"/>
        <v>1.3081465916434247</v>
      </c>
      <c r="AD208" s="180">
        <f t="shared" si="1038"/>
        <v>3.1514734874225532</v>
      </c>
      <c r="AE208" s="180">
        <f t="shared" si="1038"/>
        <v>3.5705488512189003</v>
      </c>
      <c r="AF208" s="180">
        <f t="shared" si="1038"/>
        <v>3.2680093112191875</v>
      </c>
      <c r="AG208" s="180">
        <f t="shared" si="1038"/>
        <v>2.3415069936632618</v>
      </c>
      <c r="AH208" s="180">
        <f t="shared" si="1038"/>
        <v>0.71522332430832392</v>
      </c>
      <c r="AI208" s="180">
        <f t="shared" ref="AI208:AJ208" si="1045">+IFERROR(AI201/AE201-1,"n/a")</f>
        <v>0.32860881185236579</v>
      </c>
      <c r="AJ208" s="180">
        <f t="shared" si="1045"/>
        <v>9.3608290937760241E-2</v>
      </c>
      <c r="AK208" s="180">
        <f t="shared" si="1040"/>
        <v>0.20096137110676682</v>
      </c>
      <c r="AL208" s="180">
        <f t="shared" si="1041"/>
        <v>0.23762132528278346</v>
      </c>
      <c r="AM208" s="180">
        <f t="shared" si="1042"/>
        <v>0.26211192309301667</v>
      </c>
      <c r="AP208" s="180">
        <f t="shared" ref="AP208:AV211" si="1046">+IFERROR(AP201/AO201-1,"n/a")</f>
        <v>10.007871406081698</v>
      </c>
      <c r="AQ208" s="180">
        <f t="shared" si="1046"/>
        <v>2.0191319041955826</v>
      </c>
      <c r="AR208" s="180">
        <f t="shared" si="1046"/>
        <v>1.0744289974850645</v>
      </c>
      <c r="AS208" s="180">
        <f t="shared" si="1046"/>
        <v>0.73887889863877221</v>
      </c>
      <c r="AT208" s="180">
        <f t="shared" si="1046"/>
        <v>1.4433100097366443</v>
      </c>
      <c r="AU208" s="180">
        <f t="shared" si="1046"/>
        <v>0.95372113007161219</v>
      </c>
      <c r="AV208" s="180">
        <f t="shared" si="1046"/>
        <v>2.4061018383295401</v>
      </c>
      <c r="AW208" s="180">
        <f t="shared" ref="AW208:AX208" si="1047">+IFERROR(AW201/AV201-1,"n/a")</f>
        <v>1.0799461892292324</v>
      </c>
      <c r="AX208" s="180">
        <f t="shared" si="1047"/>
        <v>0.20268773320705646</v>
      </c>
    </row>
    <row r="209" spans="2:50" s="1" customFormat="1" x14ac:dyDescent="0.2">
      <c r="B209" s="30" t="s">
        <v>223</v>
      </c>
      <c r="H209" s="42"/>
      <c r="I209" s="42"/>
      <c r="J209" s="42"/>
      <c r="K209" s="42"/>
      <c r="L209" s="173">
        <f t="shared" si="1037"/>
        <v>2.2826743242111105</v>
      </c>
      <c r="M209" s="173">
        <f t="shared" si="1037"/>
        <v>1.6909871593173387</v>
      </c>
      <c r="N209" s="173">
        <f t="shared" si="1037"/>
        <v>1.228059511009608</v>
      </c>
      <c r="O209" s="173">
        <f t="shared" si="1037"/>
        <v>0.90889191608939801</v>
      </c>
      <c r="P209" s="173">
        <f t="shared" si="1037"/>
        <v>0.4391123038701894</v>
      </c>
      <c r="Q209" s="173">
        <f t="shared" si="1037"/>
        <v>0.67260653211903199</v>
      </c>
      <c r="R209" s="173">
        <f t="shared" si="1037"/>
        <v>0.83884157835534645</v>
      </c>
      <c r="S209" s="173">
        <f t="shared" si="1037"/>
        <v>0.9633464242490728</v>
      </c>
      <c r="T209" s="173">
        <f t="shared" si="1037"/>
        <v>1.6055354339412009</v>
      </c>
      <c r="U209" s="173">
        <f t="shared" si="1037"/>
        <v>0.72947693059680652</v>
      </c>
      <c r="V209" s="173">
        <f t="shared" si="1038"/>
        <v>0.55053231680485437</v>
      </c>
      <c r="W209" s="173">
        <f t="shared" si="1038"/>
        <v>0.28123498692299087</v>
      </c>
      <c r="X209" s="173">
        <f t="shared" si="1038"/>
        <v>0.39352733365991965</v>
      </c>
      <c r="Y209" s="173">
        <f t="shared" si="1038"/>
        <v>0.48846610192679196</v>
      </c>
      <c r="Z209" s="173">
        <f t="shared" si="1038"/>
        <v>0.65461574392366395</v>
      </c>
      <c r="AA209" s="173">
        <f t="shared" si="1038"/>
        <v>0.46456785635225151</v>
      </c>
      <c r="AB209" s="173">
        <f t="shared" si="1038"/>
        <v>0.58472910461008754</v>
      </c>
      <c r="AC209" s="173">
        <f t="shared" si="1038"/>
        <v>0.66558299126397014</v>
      </c>
      <c r="AD209" s="173">
        <f t="shared" si="1038"/>
        <v>0.94201565751559269</v>
      </c>
      <c r="AE209" s="173">
        <f t="shared" si="1038"/>
        <v>1.2353355910596777</v>
      </c>
      <c r="AF209" s="173">
        <f t="shared" si="1038"/>
        <v>1.3065585373986539</v>
      </c>
      <c r="AG209" s="173">
        <f t="shared" si="1038"/>
        <v>0.85650616552004966</v>
      </c>
      <c r="AH209" s="173">
        <f t="shared" si="1038"/>
        <v>0.44325777965374424</v>
      </c>
      <c r="AI209" s="173">
        <f t="shared" ref="AI209:AJ209" si="1048">+IFERROR(AI202/AE202-1,"n/a")</f>
        <v>0.23615008633540402</v>
      </c>
      <c r="AJ209" s="173">
        <f t="shared" si="1048"/>
        <v>9.8374489408212584E-2</v>
      </c>
      <c r="AK209" s="173">
        <f t="shared" si="1040"/>
        <v>0.14553179179563203</v>
      </c>
      <c r="AL209" s="173">
        <f t="shared" si="1041"/>
        <v>0.19875380196084413</v>
      </c>
      <c r="AM209" s="173">
        <f t="shared" si="1042"/>
        <v>0.20932284834619685</v>
      </c>
      <c r="AP209" s="173">
        <f t="shared" si="1046"/>
        <v>35.057067694092304</v>
      </c>
      <c r="AQ209" s="173">
        <f t="shared" si="1046"/>
        <v>6.5372309042788164</v>
      </c>
      <c r="AR209" s="173">
        <f t="shared" si="1046"/>
        <v>1.2974015986292673</v>
      </c>
      <c r="AS209" s="173">
        <f t="shared" si="1046"/>
        <v>0.78294065606909946</v>
      </c>
      <c r="AT209" s="173">
        <f t="shared" si="1046"/>
        <v>0.6133592230942988</v>
      </c>
      <c r="AU209" s="173">
        <f t="shared" si="1046"/>
        <v>0.50337518456936814</v>
      </c>
      <c r="AV209" s="173">
        <f t="shared" si="1046"/>
        <v>0.89982516703808413</v>
      </c>
      <c r="AW209" s="173">
        <f t="shared" ref="AW209:AX209" si="1049">+IFERROR(AW202/AV202-1,"n/a")</f>
        <v>0.58737503346846975</v>
      </c>
      <c r="AX209" s="173">
        <f t="shared" si="1049"/>
        <v>0.16639884433498042</v>
      </c>
    </row>
    <row r="210" spans="2:50" s="1" customFormat="1" ht="13.5" x14ac:dyDescent="0.35">
      <c r="B210" s="20" t="s">
        <v>222</v>
      </c>
      <c r="H210" s="42"/>
      <c r="I210" s="42"/>
      <c r="J210" s="42"/>
      <c r="K210" s="42"/>
      <c r="L210" s="180" t="str">
        <f t="shared" si="1037"/>
        <v>n/a</v>
      </c>
      <c r="M210" s="180" t="str">
        <f t="shared" si="1037"/>
        <v>n/a</v>
      </c>
      <c r="N210" s="180" t="str">
        <f t="shared" si="1037"/>
        <v>n/a</v>
      </c>
      <c r="O210" s="180" t="str">
        <f t="shared" si="1037"/>
        <v>n/a</v>
      </c>
      <c r="P210" s="180" t="str">
        <f t="shared" si="1037"/>
        <v>n/a</v>
      </c>
      <c r="Q210" s="180" t="str">
        <f t="shared" si="1037"/>
        <v>n/a</v>
      </c>
      <c r="R210" s="180" t="str">
        <f t="shared" si="1037"/>
        <v>n/a</v>
      </c>
      <c r="S210" s="180" t="str">
        <f t="shared" si="1037"/>
        <v>n/a</v>
      </c>
      <c r="T210" s="180" t="str">
        <f t="shared" si="1037"/>
        <v>n/a</v>
      </c>
      <c r="U210" s="180" t="str">
        <f t="shared" si="1037"/>
        <v>n/a</v>
      </c>
      <c r="V210" s="180">
        <f t="shared" si="1038"/>
        <v>-0.79096130053815727</v>
      </c>
      <c r="W210" s="180">
        <f t="shared" si="1038"/>
        <v>-0.98475656928741362</v>
      </c>
      <c r="X210" s="180">
        <f t="shared" si="1038"/>
        <v>-0.99144109701963534</v>
      </c>
      <c r="Y210" s="180">
        <f t="shared" si="1038"/>
        <v>-0.9741032794511999</v>
      </c>
      <c r="Z210" s="180">
        <f t="shared" si="1038"/>
        <v>-0.31307312914814589</v>
      </c>
      <c r="AA210" s="180">
        <f t="shared" si="1038"/>
        <v>-0.28743020863943991</v>
      </c>
      <c r="AB210" s="180">
        <f t="shared" si="1038"/>
        <v>-1</v>
      </c>
      <c r="AC210" s="180">
        <f t="shared" si="1038"/>
        <v>-1</v>
      </c>
      <c r="AD210" s="180">
        <f t="shared" si="1038"/>
        <v>-1</v>
      </c>
      <c r="AE210" s="180">
        <f t="shared" si="1038"/>
        <v>-1</v>
      </c>
      <c r="AF210" s="180" t="str">
        <f t="shared" si="1038"/>
        <v>n/a</v>
      </c>
      <c r="AG210" s="180" t="str">
        <f t="shared" si="1038"/>
        <v>n/a</v>
      </c>
      <c r="AH210" s="180" t="str">
        <f t="shared" si="1038"/>
        <v>n/a</v>
      </c>
      <c r="AI210" s="180" t="str">
        <f t="shared" ref="AI210:AJ210" si="1050">+IFERROR(AI203/AE203-1,"n/a")</f>
        <v>n/a</v>
      </c>
      <c r="AJ210" s="180" t="str">
        <f t="shared" si="1050"/>
        <v>n/a</v>
      </c>
      <c r="AK210" s="180" t="str">
        <f t="shared" si="1040"/>
        <v>n/a</v>
      </c>
      <c r="AL210" s="180" t="str">
        <f t="shared" si="1041"/>
        <v>n/a</v>
      </c>
      <c r="AM210" s="180" t="str">
        <f t="shared" si="1042"/>
        <v>n/a</v>
      </c>
      <c r="AP210" s="180">
        <f t="shared" si="1046"/>
        <v>-0.99258631413878595</v>
      </c>
      <c r="AQ210" s="180">
        <f t="shared" si="1046"/>
        <v>-1</v>
      </c>
      <c r="AR210" s="180" t="str">
        <f t="shared" si="1046"/>
        <v>n/a</v>
      </c>
      <c r="AS210" s="180" t="str">
        <f t="shared" si="1046"/>
        <v>n/a</v>
      </c>
      <c r="AT210" s="180">
        <f t="shared" si="1046"/>
        <v>0.26004217594781531</v>
      </c>
      <c r="AU210" s="180">
        <f t="shared" si="1046"/>
        <v>-0.97113325148687124</v>
      </c>
      <c r="AV210" s="180">
        <f t="shared" si="1046"/>
        <v>-1</v>
      </c>
      <c r="AW210" s="180" t="str">
        <f t="shared" ref="AW210:AX210" si="1051">+IFERROR(AW203/AV203-1,"n/a")</f>
        <v>n/a</v>
      </c>
      <c r="AX210" s="180" t="str">
        <f t="shared" si="1051"/>
        <v>n/a</v>
      </c>
    </row>
    <row r="211" spans="2:50" s="1" customFormat="1" x14ac:dyDescent="0.2">
      <c r="B211" s="30" t="s">
        <v>224</v>
      </c>
      <c r="H211" s="42"/>
      <c r="I211" s="42"/>
      <c r="J211" s="42"/>
      <c r="K211" s="42"/>
      <c r="L211" s="173">
        <f t="shared" si="1037"/>
        <v>2.2826743242111105</v>
      </c>
      <c r="M211" s="173">
        <f t="shared" si="1037"/>
        <v>1.6909871593173387</v>
      </c>
      <c r="N211" s="173">
        <f t="shared" si="1037"/>
        <v>1.228059511009608</v>
      </c>
      <c r="O211" s="173">
        <f t="shared" si="1037"/>
        <v>0.90889191608939801</v>
      </c>
      <c r="P211" s="173">
        <f t="shared" si="1037"/>
        <v>0.4391123038701894</v>
      </c>
      <c r="Q211" s="173">
        <f t="shared" si="1037"/>
        <v>0.67260653211903199</v>
      </c>
      <c r="R211" s="173">
        <f t="shared" si="1037"/>
        <v>0.89112061994573266</v>
      </c>
      <c r="S211" s="173">
        <f t="shared" si="1037"/>
        <v>1.4597779096773142</v>
      </c>
      <c r="T211" s="173">
        <f t="shared" si="1037"/>
        <v>2.3889159232472905</v>
      </c>
      <c r="U211" s="173">
        <f t="shared" si="1037"/>
        <v>0.89007009168548512</v>
      </c>
      <c r="V211" s="173">
        <f t="shared" si="1038"/>
        <v>0.51344742656854292</v>
      </c>
      <c r="W211" s="173">
        <f t="shared" si="1038"/>
        <v>2.573303029651286E-2</v>
      </c>
      <c r="X211" s="173">
        <f t="shared" si="1038"/>
        <v>7.3378568842048297E-2</v>
      </c>
      <c r="Y211" s="173">
        <f t="shared" si="1038"/>
        <v>0.36419629770088102</v>
      </c>
      <c r="Z211" s="173">
        <f t="shared" si="1038"/>
        <v>0.6509208371079036</v>
      </c>
      <c r="AA211" s="173">
        <f t="shared" si="1038"/>
        <v>0.46231243065313099</v>
      </c>
      <c r="AB211" s="173">
        <f t="shared" si="1038"/>
        <v>0.58180810045890752</v>
      </c>
      <c r="AC211" s="173">
        <f t="shared" si="1038"/>
        <v>0.66289651308185915</v>
      </c>
      <c r="AD211" s="173">
        <f t="shared" si="1038"/>
        <v>0.93893030546381095</v>
      </c>
      <c r="AE211" s="173">
        <f t="shared" si="1038"/>
        <v>1.2320686464610224</v>
      </c>
      <c r="AF211" s="173">
        <f t="shared" si="1038"/>
        <v>1.3065585373986539</v>
      </c>
      <c r="AG211" s="173">
        <f t="shared" si="1038"/>
        <v>0.85650616552004966</v>
      </c>
      <c r="AH211" s="173">
        <f t="shared" si="1038"/>
        <v>0.44325777965374424</v>
      </c>
      <c r="AI211" s="173">
        <f t="shared" ref="AI211:AJ211" si="1052">+IFERROR(AI204/AE204-1,"n/a")</f>
        <v>0.23615008633540402</v>
      </c>
      <c r="AJ211" s="173">
        <f t="shared" si="1052"/>
        <v>9.8374489408212584E-2</v>
      </c>
      <c r="AK211" s="173">
        <f t="shared" si="1040"/>
        <v>0.14553179179563203</v>
      </c>
      <c r="AL211" s="173">
        <f t="shared" si="1041"/>
        <v>0.19875380196084413</v>
      </c>
      <c r="AM211" s="173">
        <f t="shared" si="1042"/>
        <v>0.20932284834619685</v>
      </c>
      <c r="AP211" s="173">
        <f t="shared" si="1046"/>
        <v>2.4545461748114348</v>
      </c>
      <c r="AQ211" s="173">
        <f t="shared" si="1046"/>
        <v>6.5226022260497807</v>
      </c>
      <c r="AR211" s="173">
        <f t="shared" si="1046"/>
        <v>1.2974015986292673</v>
      </c>
      <c r="AS211" s="173">
        <f t="shared" si="1046"/>
        <v>0.97372735733921911</v>
      </c>
      <c r="AT211" s="173">
        <f t="shared" si="1046"/>
        <v>0.57920648478577719</v>
      </c>
      <c r="AU211" s="173">
        <f t="shared" si="1046"/>
        <v>0.38965059892162324</v>
      </c>
      <c r="AV211" s="173">
        <f t="shared" si="1046"/>
        <v>0.8967813889394054</v>
      </c>
      <c r="AW211" s="173">
        <f t="shared" ref="AW211:AX211" si="1053">+IFERROR(AW204/AV204-1,"n/a")</f>
        <v>0.58737503346846975</v>
      </c>
      <c r="AX211" s="173">
        <f t="shared" si="1053"/>
        <v>0.16639884433498042</v>
      </c>
    </row>
    <row r="212" spans="2:50" s="1" customFormat="1" x14ac:dyDescent="0.2">
      <c r="B212" s="38"/>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row>
    <row r="213" spans="2:50" s="1" customFormat="1" x14ac:dyDescent="0.2">
      <c r="B213" s="19" t="s">
        <v>261</v>
      </c>
      <c r="C213"/>
      <c r="D213"/>
      <c r="E213"/>
      <c r="F213"/>
      <c r="G213"/>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row>
    <row r="214" spans="2:50" s="1" customFormat="1" x14ac:dyDescent="0.2">
      <c r="B214" s="20" t="s">
        <v>225</v>
      </c>
      <c r="C214"/>
      <c r="D214"/>
      <c r="E214" s="46"/>
      <c r="F214" s="46"/>
      <c r="G214" s="46"/>
      <c r="H214"/>
      <c r="I214" s="46">
        <f>+IFERROR(I200/H200-1,"n/a")</f>
        <v>1.1396552657702377</v>
      </c>
      <c r="J214" s="46">
        <f t="shared" ref="J214:J218" si="1054">+IFERROR(J200/I200-1,"n/a")</f>
        <v>0.25440962111421905</v>
      </c>
      <c r="K214" s="46">
        <f t="shared" ref="K214:K218" si="1055">+IFERROR(K200/J200-1,"n/a")</f>
        <v>0.70212884711404455</v>
      </c>
      <c r="L214" s="46">
        <f t="shared" ref="L214:L218" si="1056">+IFERROR(L200/K200-1,"n/a")</f>
        <v>-0.22004757447981949</v>
      </c>
      <c r="M214" s="46">
        <f t="shared" ref="M214:M218" si="1057">+IFERROR(M200/L200-1,"n/a")</f>
        <v>0.6378913153483905</v>
      </c>
      <c r="N214" s="46">
        <f t="shared" ref="N214:N218" si="1058">+IFERROR(N200/M200-1,"n/a")</f>
        <v>3.7788656475657545E-2</v>
      </c>
      <c r="O214" s="46">
        <f t="shared" ref="O214:O218" si="1059">+IFERROR(O200/N200-1,"n/a")</f>
        <v>0.44330834371980443</v>
      </c>
      <c r="P214" s="46">
        <f t="shared" ref="P214:P218" si="1060">+IFERROR(P200/O200-1,"n/a")</f>
        <v>-0.4330091189991554</v>
      </c>
      <c r="Q214" s="46">
        <f t="shared" ref="Q214:Q218" si="1061">+IFERROR(Q200/P200-1,"n/a")</f>
        <v>1.012773953210603</v>
      </c>
      <c r="R214" s="46">
        <f t="shared" ref="R214:R218" si="1062">+IFERROR(R200/Q200-1,"n/a")</f>
        <v>0.12936925097365837</v>
      </c>
      <c r="S214" s="46">
        <f t="shared" ref="S214:S218" si="1063">+IFERROR(S200/R200-1,"n/a")</f>
        <v>0.51559660054805678</v>
      </c>
      <c r="T214" s="46">
        <f t="shared" ref="T214:T218" si="1064">+IFERROR(T200/S200-1,"n/a")</f>
        <v>-0.25422763744270871</v>
      </c>
      <c r="U214" s="46">
        <f t="shared" ref="U214:U218" si="1065">+IFERROR(U200/T200-1,"n/a")</f>
        <v>0.28125549640909542</v>
      </c>
      <c r="V214" s="46">
        <f t="shared" ref="V214:V218" si="1066">+IFERROR(V200/U200-1,"n/a")</f>
        <v>-7.4070739179220579E-3</v>
      </c>
      <c r="W214" s="46">
        <f t="shared" ref="W214:W218" si="1067">+IFERROR(W200/V200-1,"n/a")</f>
        <v>0.24954759970971518</v>
      </c>
      <c r="X214" s="46">
        <f t="shared" ref="X214:X218" si="1068">+IFERROR(X200/W200-1,"n/a")</f>
        <v>-0.1902597908468322</v>
      </c>
      <c r="Y214" s="46">
        <f t="shared" ref="Y214:Y218" si="1069">+IFERROR(Y200/X200-1,"n/a")</f>
        <v>0.38627942676746474</v>
      </c>
      <c r="Z214" s="46">
        <f t="shared" ref="Z214:Z218" si="1070">+IFERROR(Z200/Y200-1,"n/a")</f>
        <v>0.12922731102099649</v>
      </c>
      <c r="AA214" s="46">
        <f t="shared" ref="AA214:AA218" si="1071">+IFERROR(AA200/Z200-1,"n/a")</f>
        <v>8.93403826016963E-2</v>
      </c>
      <c r="AB214" s="46">
        <f t="shared" ref="AB214:AB218" si="1072">+IFERROR(AB200/AA200-1,"n/a")</f>
        <v>-0.12015994211308723</v>
      </c>
      <c r="AC214" s="46">
        <f t="shared" ref="AC214:AC218" si="1073">+IFERROR(AC200/AB200-1,"n/a")</f>
        <v>0.39231529414493815</v>
      </c>
      <c r="AD214" s="46">
        <f t="shared" ref="AD214:AD218" si="1074">+IFERROR(AD200/AC200-1,"n/a")</f>
        <v>4.6261957089361427E-2</v>
      </c>
      <c r="AE214" s="46">
        <f t="shared" ref="AE214:AH218" si="1075">+IFERROR(AE200/AD200-1,"n/a")</f>
        <v>0.22646676381520736</v>
      </c>
      <c r="AF214" s="46">
        <f t="shared" si="1075"/>
        <v>-0.12777187543874635</v>
      </c>
      <c r="AG214" s="46">
        <f t="shared" si="1075"/>
        <v>0.15685850959539693</v>
      </c>
      <c r="AH214" s="46">
        <f t="shared" si="1075"/>
        <v>4.7877807957208418E-3</v>
      </c>
      <c r="AI214" s="46">
        <f t="shared" ref="AI214:AJ218" si="1076">+IFERROR(AI200/AH200-1,"n/a")</f>
        <v>0.14390797592747773</v>
      </c>
      <c r="AJ214" s="46">
        <f t="shared" si="1076"/>
        <v>-0.17020813993771244</v>
      </c>
      <c r="AK214" s="46">
        <f t="shared" ref="AK214:AK218" si="1077">+IFERROR(AK200/AJ200-1,"n/a")</f>
        <v>0.14435120849263061</v>
      </c>
      <c r="AL214" s="46">
        <f t="shared" ref="AL214:AL218" si="1078">+IFERROR(AL200/AK200-1,"n/a")</f>
        <v>6.7341519648408177E-2</v>
      </c>
      <c r="AM214" s="46">
        <f t="shared" ref="AM214:AM218" si="1079">+IFERROR(AM200/AL200-1,"n/a")</f>
        <v>0.1439079759274775</v>
      </c>
    </row>
    <row r="215" spans="2:50" s="1" customFormat="1" ht="13.5" x14ac:dyDescent="0.35">
      <c r="B215" s="20" t="s">
        <v>226</v>
      </c>
      <c r="C215"/>
      <c r="D215"/>
      <c r="E215" s="47"/>
      <c r="F215" s="47"/>
      <c r="G215" s="47"/>
      <c r="H215"/>
      <c r="I215" s="47">
        <f t="shared" ref="I215:I218" si="1080">+IFERROR(I201/H201-1,"n/a")</f>
        <v>0.2227454214043918</v>
      </c>
      <c r="J215" s="47">
        <f t="shared" si="1054"/>
        <v>0.17799487716433893</v>
      </c>
      <c r="K215" s="47">
        <f t="shared" si="1055"/>
        <v>0.48527266472997144</v>
      </c>
      <c r="L215" s="47">
        <f t="shared" si="1056"/>
        <v>8.8683174877945969E-3</v>
      </c>
      <c r="M215" s="47">
        <f t="shared" si="1057"/>
        <v>0.37893563900199401</v>
      </c>
      <c r="N215" s="47">
        <f t="shared" si="1058"/>
        <v>-2.4840357986961159E-2</v>
      </c>
      <c r="O215" s="47">
        <f t="shared" si="1059"/>
        <v>0.37823881329805986</v>
      </c>
      <c r="P215" s="47">
        <f t="shared" si="1060"/>
        <v>-5.1750997037142921E-2</v>
      </c>
      <c r="Q215" s="47">
        <f t="shared" si="1061"/>
        <v>8.5649258335089407E-2</v>
      </c>
      <c r="R215" s="47">
        <f t="shared" si="1062"/>
        <v>0.16994915761840912</v>
      </c>
      <c r="S215" s="47">
        <f t="shared" si="1063"/>
        <v>0.70245787929652215</v>
      </c>
      <c r="T215" s="47">
        <f t="shared" si="1064"/>
        <v>0.29260301999439986</v>
      </c>
      <c r="U215" s="47">
        <f t="shared" si="1065"/>
        <v>2.5981118720098229E-2</v>
      </c>
      <c r="V215" s="47">
        <f t="shared" si="1066"/>
        <v>0.15610555525631753</v>
      </c>
      <c r="W215" s="47">
        <f t="shared" si="1067"/>
        <v>0.35863942479279776</v>
      </c>
      <c r="X215" s="47">
        <f t="shared" si="1068"/>
        <v>0.18356970900190439</v>
      </c>
      <c r="Y215" s="47">
        <f t="shared" si="1069"/>
        <v>0.11174289405153304</v>
      </c>
      <c r="Z215" s="47">
        <f t="shared" si="1070"/>
        <v>0.12966830094300263</v>
      </c>
      <c r="AA215" s="47">
        <f t="shared" si="1071"/>
        <v>0.25267905509514565</v>
      </c>
      <c r="AB215" s="47">
        <f t="shared" si="1072"/>
        <v>0.18143270353139895</v>
      </c>
      <c r="AC215" s="47">
        <f t="shared" si="1073"/>
        <v>0.38058655831289578</v>
      </c>
      <c r="AD215" s="47">
        <f t="shared" si="1074"/>
        <v>1.0318414861195531</v>
      </c>
      <c r="AE215" s="47">
        <f t="shared" si="1075"/>
        <v>0.37913221258838758</v>
      </c>
      <c r="AF215" s="47">
        <f t="shared" si="1075"/>
        <v>0.10322981842894907</v>
      </c>
      <c r="AG215" s="47">
        <f t="shared" si="1075"/>
        <v>8.0887904305491753E-2</v>
      </c>
      <c r="AH215" s="47">
        <f t="shared" si="1075"/>
        <v>4.2961129483947369E-2</v>
      </c>
      <c r="AI215" s="47">
        <f t="shared" si="1076"/>
        <v>6.8273258873319698E-2</v>
      </c>
      <c r="AJ215" s="47">
        <f t="shared" si="1076"/>
        <v>-9.1906311714479161E-2</v>
      </c>
      <c r="AK215" s="47">
        <f t="shared" si="1077"/>
        <v>0.18699229909305903</v>
      </c>
      <c r="AL215" s="47">
        <f t="shared" si="1078"/>
        <v>7.4798046252562589E-2</v>
      </c>
      <c r="AM215" s="47">
        <f t="shared" si="1079"/>
        <v>8.9412722294019753E-2</v>
      </c>
    </row>
    <row r="216" spans="2:50" s="1" customFormat="1" x14ac:dyDescent="0.2">
      <c r="B216" s="30" t="s">
        <v>223</v>
      </c>
      <c r="C216"/>
      <c r="D216"/>
      <c r="E216" s="46"/>
      <c r="F216" s="46"/>
      <c r="G216" s="46"/>
      <c r="H216"/>
      <c r="I216" s="46">
        <f t="shared" si="1080"/>
        <v>0.95654930940543337</v>
      </c>
      <c r="J216" s="46">
        <f t="shared" si="1054"/>
        <v>0.24487291836314329</v>
      </c>
      <c r="K216" s="46">
        <f t="shared" si="1055"/>
        <v>0.67651874708295345</v>
      </c>
      <c r="L216" s="46">
        <f t="shared" si="1056"/>
        <v>-0.19609715167630537</v>
      </c>
      <c r="M216" s="46">
        <f t="shared" si="1057"/>
        <v>0.60389016642597348</v>
      </c>
      <c r="N216" s="46">
        <f t="shared" si="1058"/>
        <v>3.071875915636868E-2</v>
      </c>
      <c r="O216" s="46">
        <f t="shared" si="1059"/>
        <v>0.43635888882914808</v>
      </c>
      <c r="P216" s="46">
        <f t="shared" si="1060"/>
        <v>-0.39393819503988148</v>
      </c>
      <c r="Q216" s="46">
        <f t="shared" si="1061"/>
        <v>0.86411940329539916</v>
      </c>
      <c r="R216" s="46">
        <f t="shared" si="1062"/>
        <v>0.13315862011274193</v>
      </c>
      <c r="S216" s="46">
        <f t="shared" si="1063"/>
        <v>0.53361231414146104</v>
      </c>
      <c r="T216" s="46">
        <f t="shared" si="1064"/>
        <v>-0.19570204805506031</v>
      </c>
      <c r="U216" s="46">
        <f t="shared" si="1065"/>
        <v>0.23734701968748273</v>
      </c>
      <c r="V216" s="46">
        <f t="shared" si="1066"/>
        <v>1.5913557138051981E-2</v>
      </c>
      <c r="W216" s="46">
        <f t="shared" si="1067"/>
        <v>0.26725365989341809</v>
      </c>
      <c r="X216" s="46">
        <f t="shared" si="1068"/>
        <v>-0.12521029172509412</v>
      </c>
      <c r="Y216" s="46">
        <f t="shared" si="1069"/>
        <v>0.32164547521851961</v>
      </c>
      <c r="Z216" s="46">
        <f t="shared" si="1070"/>
        <v>0.1293146440689239</v>
      </c>
      <c r="AA216" s="46">
        <f t="shared" si="1071"/>
        <v>0.1216978823877759</v>
      </c>
      <c r="AB216" s="46">
        <f t="shared" si="1072"/>
        <v>-5.3437705119766421E-2</v>
      </c>
      <c r="AC216" s="46">
        <f t="shared" si="1073"/>
        <v>0.38907666780472949</v>
      </c>
      <c r="AD216" s="46">
        <f t="shared" si="1074"/>
        <v>0.31674418659809533</v>
      </c>
      <c r="AE216" s="46">
        <f t="shared" si="1075"/>
        <v>0.29111791102927076</v>
      </c>
      <c r="AF216" s="46">
        <f t="shared" si="1075"/>
        <v>-2.3278047749128228E-2</v>
      </c>
      <c r="AG216" s="46">
        <f t="shared" si="1075"/>
        <v>0.11804203376860345</v>
      </c>
      <c r="AH216" s="46">
        <f t="shared" si="1075"/>
        <v>2.3643942808666552E-2</v>
      </c>
      <c r="AI216" s="46">
        <f t="shared" si="1076"/>
        <v>0.10584231014567891</v>
      </c>
      <c r="AJ216" s="46">
        <f t="shared" si="1076"/>
        <v>-0.13213897935508467</v>
      </c>
      <c r="AK216" s="46">
        <f t="shared" si="1077"/>
        <v>0.16604373699158925</v>
      </c>
      <c r="AL216" s="46">
        <f t="shared" si="1078"/>
        <v>7.1202979336428163E-2</v>
      </c>
      <c r="AM216" s="46">
        <f t="shared" si="1079"/>
        <v>0.11559218426636741</v>
      </c>
    </row>
    <row r="217" spans="2:50" s="1" customFormat="1" ht="13.5" x14ac:dyDescent="0.35">
      <c r="B217" s="20" t="s">
        <v>222</v>
      </c>
      <c r="C217"/>
      <c r="D217"/>
      <c r="E217" s="47"/>
      <c r="F217" s="47"/>
      <c r="G217" s="47"/>
      <c r="H217"/>
      <c r="I217" s="47" t="str">
        <f t="shared" si="1080"/>
        <v>n/a</v>
      </c>
      <c r="J217" s="47" t="str">
        <f t="shared" si="1054"/>
        <v>n/a</v>
      </c>
      <c r="K217" s="47" t="str">
        <f t="shared" si="1055"/>
        <v>n/a</v>
      </c>
      <c r="L217" s="47" t="str">
        <f t="shared" si="1056"/>
        <v>n/a</v>
      </c>
      <c r="M217" s="47" t="str">
        <f t="shared" si="1057"/>
        <v>n/a</v>
      </c>
      <c r="N217" s="47" t="str">
        <f t="shared" si="1058"/>
        <v>n/a</v>
      </c>
      <c r="O217" s="47" t="str">
        <f t="shared" si="1059"/>
        <v>n/a</v>
      </c>
      <c r="P217" s="47" t="str">
        <f t="shared" si="1060"/>
        <v>n/a</v>
      </c>
      <c r="Q217" s="47" t="str">
        <f t="shared" si="1061"/>
        <v>n/a</v>
      </c>
      <c r="R217" s="47" t="str">
        <f t="shared" si="1062"/>
        <v>n/a</v>
      </c>
      <c r="S217" s="47">
        <f t="shared" si="1063"/>
        <v>12.63938119555422</v>
      </c>
      <c r="T217" s="47">
        <f t="shared" si="1064"/>
        <v>-4.3620303595715448E-2</v>
      </c>
      <c r="U217" s="47">
        <f t="shared" si="1065"/>
        <v>-0.61785513973277073</v>
      </c>
      <c r="V217" s="47">
        <f t="shared" si="1066"/>
        <v>-0.95806528874256125</v>
      </c>
      <c r="W217" s="47">
        <f t="shared" si="1067"/>
        <v>-5.3948730438959647E-3</v>
      </c>
      <c r="X217" s="47">
        <f t="shared" si="1068"/>
        <v>-0.46301057890097286</v>
      </c>
      <c r="Y217" s="47">
        <f t="shared" si="1069"/>
        <v>0.15625783797341364</v>
      </c>
      <c r="Z217" s="47">
        <f t="shared" si="1070"/>
        <v>0.11234470518635375</v>
      </c>
      <c r="AA217" s="47">
        <f t="shared" si="1071"/>
        <v>3.1733650078890951E-2</v>
      </c>
      <c r="AB217" s="47">
        <f t="shared" si="1072"/>
        <v>-1</v>
      </c>
      <c r="AC217" s="47" t="str">
        <f t="shared" si="1073"/>
        <v>n/a</v>
      </c>
      <c r="AD217" s="47" t="str">
        <f t="shared" si="1074"/>
        <v>n/a</v>
      </c>
      <c r="AE217" s="47" t="str">
        <f t="shared" si="1075"/>
        <v>n/a</v>
      </c>
      <c r="AF217" s="47" t="str">
        <f t="shared" si="1075"/>
        <v>n/a</v>
      </c>
      <c r="AG217" s="47" t="str">
        <f t="shared" si="1075"/>
        <v>n/a</v>
      </c>
      <c r="AH217" s="47" t="str">
        <f t="shared" si="1075"/>
        <v>n/a</v>
      </c>
      <c r="AI217" s="47" t="str">
        <f t="shared" si="1076"/>
        <v>n/a</v>
      </c>
      <c r="AJ217" s="47" t="str">
        <f t="shared" si="1076"/>
        <v>n/a</v>
      </c>
      <c r="AK217" s="47" t="str">
        <f t="shared" si="1077"/>
        <v>n/a</v>
      </c>
      <c r="AL217" s="47" t="str">
        <f t="shared" si="1078"/>
        <v>n/a</v>
      </c>
      <c r="AM217" s="47" t="str">
        <f t="shared" si="1079"/>
        <v>n/a</v>
      </c>
    </row>
    <row r="218" spans="2:50" s="1" customFormat="1" x14ac:dyDescent="0.2">
      <c r="B218" s="30" t="s">
        <v>224</v>
      </c>
      <c r="C218"/>
      <c r="D218"/>
      <c r="E218" s="46"/>
      <c r="F218" s="46"/>
      <c r="G218" s="46"/>
      <c r="H218"/>
      <c r="I218" s="46">
        <f t="shared" si="1080"/>
        <v>0.95654930940543337</v>
      </c>
      <c r="J218" s="46">
        <f t="shared" si="1054"/>
        <v>0.24487291836314329</v>
      </c>
      <c r="K218" s="46">
        <f t="shared" si="1055"/>
        <v>0.67651874708295345</v>
      </c>
      <c r="L218" s="46">
        <f t="shared" si="1056"/>
        <v>-0.19609715167630537</v>
      </c>
      <c r="M218" s="46">
        <f t="shared" si="1057"/>
        <v>0.60389016642597348</v>
      </c>
      <c r="N218" s="46">
        <f t="shared" si="1058"/>
        <v>3.071875915636868E-2</v>
      </c>
      <c r="O218" s="46">
        <f t="shared" si="1059"/>
        <v>0.43635888882914808</v>
      </c>
      <c r="P218" s="46">
        <f t="shared" si="1060"/>
        <v>-0.39393819503988148</v>
      </c>
      <c r="Q218" s="46">
        <f t="shared" si="1061"/>
        <v>0.86411940329539916</v>
      </c>
      <c r="R218" s="46">
        <f t="shared" si="1062"/>
        <v>0.16537479758375784</v>
      </c>
      <c r="S218" s="46">
        <f t="shared" si="1063"/>
        <v>0.86826997064416633</v>
      </c>
      <c r="T218" s="46">
        <f t="shared" si="1064"/>
        <v>-0.16500896555706568</v>
      </c>
      <c r="U218" s="46">
        <f t="shared" si="1065"/>
        <v>3.9658820488869706E-2</v>
      </c>
      <c r="V218" s="46">
        <f t="shared" si="1066"/>
        <v>-6.6842284765137205E-2</v>
      </c>
      <c r="W218" s="46">
        <f t="shared" si="1067"/>
        <v>0.26621261152478359</v>
      </c>
      <c r="X218" s="46">
        <f t="shared" si="1068"/>
        <v>-0.12622343721620011</v>
      </c>
      <c r="Y218" s="46">
        <f t="shared" si="1069"/>
        <v>0.32134062944169783</v>
      </c>
      <c r="Z218" s="46">
        <f t="shared" si="1070"/>
        <v>0.12928727264954776</v>
      </c>
      <c r="AA218" s="46">
        <f t="shared" si="1071"/>
        <v>0.12155495288683871</v>
      </c>
      <c r="AB218" s="46">
        <f t="shared" si="1072"/>
        <v>-5.4821106604947323E-2</v>
      </c>
      <c r="AC218" s="46">
        <f t="shared" si="1073"/>
        <v>0.38907666780472949</v>
      </c>
      <c r="AD218" s="46">
        <f t="shared" si="1074"/>
        <v>0.31674418659809533</v>
      </c>
      <c r="AE218" s="46">
        <f t="shared" si="1075"/>
        <v>0.29111791102927076</v>
      </c>
      <c r="AF218" s="46">
        <f t="shared" si="1075"/>
        <v>-2.3278047749128228E-2</v>
      </c>
      <c r="AG218" s="46">
        <f t="shared" si="1075"/>
        <v>0.11804203376860345</v>
      </c>
      <c r="AH218" s="46">
        <f t="shared" si="1075"/>
        <v>2.3643942808666552E-2</v>
      </c>
      <c r="AI218" s="46">
        <f t="shared" si="1076"/>
        <v>0.10584231014567891</v>
      </c>
      <c r="AJ218" s="46">
        <f t="shared" si="1076"/>
        <v>-0.13213897935508467</v>
      </c>
      <c r="AK218" s="46">
        <f t="shared" si="1077"/>
        <v>0.16604373699158925</v>
      </c>
      <c r="AL218" s="46">
        <f t="shared" si="1078"/>
        <v>7.1202979336428163E-2</v>
      </c>
      <c r="AM218" s="46">
        <f t="shared" si="1079"/>
        <v>0.11559218426636741</v>
      </c>
    </row>
    <row r="219" spans="2:50" s="1" customFormat="1" x14ac:dyDescent="0.2">
      <c r="B219" s="30"/>
      <c r="C219"/>
      <c r="D219"/>
      <c r="E219" s="46"/>
      <c r="F219" s="46"/>
      <c r="G219" s="46"/>
      <c r="H219"/>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row>
    <row r="220" spans="2:50" x14ac:dyDescent="0.2">
      <c r="B220" s="6" t="s">
        <v>382</v>
      </c>
      <c r="C220" s="5"/>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P220" s="46"/>
      <c r="AQ220" s="46"/>
      <c r="AR220" s="46"/>
      <c r="AS220" s="46"/>
      <c r="AT220" s="46"/>
      <c r="AU220" s="46"/>
      <c r="AV220" s="46"/>
      <c r="AW220" s="46"/>
      <c r="AX220" s="46"/>
    </row>
    <row r="222" spans="2:50" x14ac:dyDescent="0.2">
      <c r="B222" s="24" t="s">
        <v>363</v>
      </c>
      <c r="AT222" s="33"/>
    </row>
    <row r="223" spans="2:50" x14ac:dyDescent="0.2">
      <c r="B223" t="s">
        <v>370</v>
      </c>
      <c r="D223" s="14">
        <f>+IFERROR(D225-D224,"n/a")</f>
        <v>8.7059999999999995</v>
      </c>
      <c r="E223" s="14">
        <f t="shared" ref="E223:S223" si="1081">+IFERROR(E225-E224,"n/a")</f>
        <v>19.099</v>
      </c>
      <c r="F223" s="14">
        <f t="shared" si="1081"/>
        <v>35.594000000000001</v>
      </c>
      <c r="G223" s="14">
        <f t="shared" si="1081"/>
        <v>77.849999999999994</v>
      </c>
      <c r="H223" s="14">
        <f t="shared" si="1081"/>
        <v>66.2</v>
      </c>
      <c r="I223" s="14">
        <f t="shared" si="1081"/>
        <v>82.456000000000017</v>
      </c>
      <c r="J223" s="14">
        <f t="shared" si="1081"/>
        <v>118.29399999999998</v>
      </c>
      <c r="K223" s="14">
        <f t="shared" si="1081"/>
        <v>204.65000000000003</v>
      </c>
      <c r="L223" s="14">
        <f t="shared" si="1081"/>
        <v>151.99999999999994</v>
      </c>
      <c r="M223" s="14">
        <f t="shared" si="1081"/>
        <v>234.15600000000006</v>
      </c>
      <c r="N223" s="14">
        <f t="shared" si="1081"/>
        <v>249.39400000000001</v>
      </c>
      <c r="O223" s="14">
        <f t="shared" si="1081"/>
        <v>371.05000000000007</v>
      </c>
      <c r="P223" s="14">
        <f t="shared" si="1081"/>
        <v>302.59999999999991</v>
      </c>
      <c r="Q223" s="14">
        <f t="shared" si="1081"/>
        <v>345.65600000000006</v>
      </c>
      <c r="R223" s="14">
        <f t="shared" si="1081"/>
        <v>438.29399999999987</v>
      </c>
      <c r="S223" s="14">
        <f t="shared" si="1081"/>
        <v>576.25882352941198</v>
      </c>
      <c r="T223" s="58">
        <f>499.27*0.99592</f>
        <v>497.23297839999998</v>
      </c>
      <c r="U223" s="58">
        <f>570.352*0.99592</f>
        <v>568.02496383999994</v>
      </c>
      <c r="V223" s="58">
        <f>594.932*0.99592</f>
        <v>592.50467744000002</v>
      </c>
      <c r="W223" s="58">
        <f>701.622*0.995592</f>
        <v>698.52925022399995</v>
      </c>
      <c r="X223" s="58">
        <v>594.62599999999998</v>
      </c>
      <c r="Y223" s="58">
        <v>654.22400000000005</v>
      </c>
      <c r="Z223" s="58">
        <v>737.71500000000003</v>
      </c>
      <c r="AA223" s="58">
        <v>827.91300000000001</v>
      </c>
      <c r="AB223" s="58">
        <v>743.28200000000004</v>
      </c>
      <c r="AC223" s="58">
        <v>850.49199999999996</v>
      </c>
      <c r="AD223" s="58">
        <v>892.63599999999997</v>
      </c>
      <c r="AE223" s="58">
        <v>1034.8920000000001</v>
      </c>
      <c r="AF223" s="14">
        <f>+AB223*(1+AF231)</f>
        <v>906.80403999999999</v>
      </c>
      <c r="AG223" s="14">
        <f t="shared" ref="AG223:AH223" si="1082">+AC223*(1+AG231)</f>
        <v>1003.5805599999999</v>
      </c>
      <c r="AH223" s="14">
        <f t="shared" si="1082"/>
        <v>1071.1632</v>
      </c>
      <c r="AI223" s="14">
        <f t="shared" ref="AI223:AJ223" si="1083">+AE223*(1+AI231)</f>
        <v>1225.312128</v>
      </c>
      <c r="AJ223" s="14">
        <f t="shared" si="1083"/>
        <v>1042.8246459999998</v>
      </c>
      <c r="AK223" s="14">
        <f t="shared" ref="AK223:AK224" si="1084">+AG223*(1+AK231)</f>
        <v>1154.1176439999997</v>
      </c>
      <c r="AL223" s="14">
        <f t="shared" ref="AL223:AL224" si="1085">+AH223*(1+AL231)</f>
        <v>1231.8376799999999</v>
      </c>
      <c r="AM223" s="14">
        <f t="shared" ref="AM223:AM224" si="1086">+AI223*(1+AM231)</f>
        <v>1409.1089471999999</v>
      </c>
      <c r="AO223" s="17" t="str">
        <f>+IFERROR(AO225-AO224,"n/a")</f>
        <v>n/a</v>
      </c>
      <c r="AP223" s="14">
        <f t="shared" ref="AP223:AP228" si="1087">+SUM(D223:G223)</f>
        <v>141.249</v>
      </c>
      <c r="AQ223" s="14">
        <f t="shared" ref="AQ223:AQ228" si="1088">+SUM(H223:K223)</f>
        <v>471.6</v>
      </c>
      <c r="AR223" s="14">
        <f t="shared" ref="AR223:AR228" si="1089">+SUM(L223:O223)</f>
        <v>1006.6</v>
      </c>
      <c r="AS223" s="14">
        <f t="shared" ref="AS223:AS228" si="1090">+SUM(P223:S223)</f>
        <v>1662.8088235294117</v>
      </c>
      <c r="AT223" s="14">
        <f t="shared" ref="AT223:AT228" si="1091">+SUM(T223:W223)</f>
        <v>2356.2918699040001</v>
      </c>
      <c r="AU223" s="14">
        <f t="shared" ref="AU223:AU228" si="1092">+SUM(X223:AA223)</f>
        <v>2814.4780000000001</v>
      </c>
      <c r="AV223" s="14">
        <f t="shared" ref="AV223:AV228" si="1093">+SUM(AB223:AE223)</f>
        <v>3521.3019999999997</v>
      </c>
      <c r="AW223" s="14">
        <f t="shared" ref="AW223:AW228" si="1094">+SUM(AF223:AI223)</f>
        <v>4206.8599279999999</v>
      </c>
      <c r="AX223" s="14">
        <f>+SUM(AJ223:AM223)</f>
        <v>4837.8889171999999</v>
      </c>
    </row>
    <row r="224" spans="2:50" ht="13.5" x14ac:dyDescent="0.35">
      <c r="B224" t="s">
        <v>371</v>
      </c>
      <c r="D224" s="13">
        <v>0</v>
      </c>
      <c r="E224" s="13">
        <v>0</v>
      </c>
      <c r="F224" s="13">
        <v>0</v>
      </c>
      <c r="G224" s="13">
        <v>0</v>
      </c>
      <c r="H224" s="13">
        <v>0</v>
      </c>
      <c r="I224" s="13">
        <v>0</v>
      </c>
      <c r="J224" s="13">
        <v>0</v>
      </c>
      <c r="K224" s="13">
        <v>0</v>
      </c>
      <c r="L224" s="13">
        <v>0</v>
      </c>
      <c r="M224" s="13">
        <v>0</v>
      </c>
      <c r="N224" s="13">
        <v>0</v>
      </c>
      <c r="O224" s="13">
        <v>0</v>
      </c>
      <c r="P224" s="13">
        <v>0</v>
      </c>
      <c r="Q224" s="13">
        <v>0</v>
      </c>
      <c r="R224" s="13">
        <v>0</v>
      </c>
      <c r="S224" s="36">
        <f>+IFERROR(S246/S268,"n/a")</f>
        <v>4.7911764705882351</v>
      </c>
      <c r="T224" s="36">
        <f t="shared" ref="T224:AE224" si="1095">+IFERROR(T246/T268,"n/a")</f>
        <v>13.154721660651038</v>
      </c>
      <c r="U224" s="36">
        <f t="shared" si="1095"/>
        <v>17.720725899279639</v>
      </c>
      <c r="V224" s="36">
        <f t="shared" si="1095"/>
        <v>25.230578755203197</v>
      </c>
      <c r="W224" s="36">
        <f t="shared" si="1095"/>
        <v>29.32651053613148</v>
      </c>
      <c r="X224" s="36">
        <f t="shared" si="1095"/>
        <v>31.402547274132523</v>
      </c>
      <c r="Y224" s="36">
        <f t="shared" si="1095"/>
        <v>37.514407824075207</v>
      </c>
      <c r="Z224" s="36">
        <f t="shared" si="1095"/>
        <v>39.973702104132464</v>
      </c>
      <c r="AA224" s="36">
        <f t="shared" si="1095"/>
        <v>41.176470588235297</v>
      </c>
      <c r="AB224" s="36">
        <f t="shared" si="1095"/>
        <v>39.843203714542859</v>
      </c>
      <c r="AC224" s="36">
        <f t="shared" si="1095"/>
        <v>44.877475102358147</v>
      </c>
      <c r="AD224" s="36">
        <f t="shared" si="1095"/>
        <v>47.813949097516208</v>
      </c>
      <c r="AE224" s="36">
        <f t="shared" si="1095"/>
        <v>47.478640883581619</v>
      </c>
      <c r="AF224" s="36">
        <f>+AB224*(1+AF232)</f>
        <v>45.819684271724284</v>
      </c>
      <c r="AG224" s="36">
        <f t="shared" ref="AG224" si="1096">+AC224*(1+AG232)</f>
        <v>50.26277211464113</v>
      </c>
      <c r="AH224" s="15">
        <f t="shared" ref="AH224" si="1097">+AD224*(1+AH232)</f>
        <v>52.595344007267833</v>
      </c>
      <c r="AI224" s="15">
        <f t="shared" ref="AI224:AJ224" si="1098">+AE224*(1+AI232)</f>
        <v>52.226504971939782</v>
      </c>
      <c r="AJ224" s="15">
        <f t="shared" si="1098"/>
        <v>50.401652698896719</v>
      </c>
      <c r="AK224" s="15">
        <f t="shared" si="1084"/>
        <v>55.28904932610525</v>
      </c>
      <c r="AL224" s="15">
        <f t="shared" si="1085"/>
        <v>57.854878407994619</v>
      </c>
      <c r="AM224" s="15">
        <f t="shared" si="1086"/>
        <v>57.449155469133764</v>
      </c>
      <c r="AO224" s="23">
        <v>0</v>
      </c>
      <c r="AP224" s="36">
        <f t="shared" si="1087"/>
        <v>0</v>
      </c>
      <c r="AQ224" s="36">
        <f t="shared" si="1088"/>
        <v>0</v>
      </c>
      <c r="AR224" s="36">
        <f t="shared" si="1089"/>
        <v>0</v>
      </c>
      <c r="AS224" s="36">
        <f t="shared" si="1090"/>
        <v>4.7911764705882351</v>
      </c>
      <c r="AT224" s="36">
        <f t="shared" si="1091"/>
        <v>85.432536851265354</v>
      </c>
      <c r="AU224" s="36">
        <f t="shared" si="1092"/>
        <v>150.06712779057548</v>
      </c>
      <c r="AV224" s="36">
        <f t="shared" si="1093"/>
        <v>180.01326879799882</v>
      </c>
      <c r="AW224" s="36">
        <f t="shared" si="1094"/>
        <v>200.90430536557304</v>
      </c>
      <c r="AX224" s="36">
        <f t="shared" ref="AX224:AX228" si="1099">+SUM(AJ224:AM224)</f>
        <v>220.99473590213034</v>
      </c>
    </row>
    <row r="225" spans="2:50" x14ac:dyDescent="0.2">
      <c r="B225" s="4" t="s">
        <v>350</v>
      </c>
      <c r="D225" s="14">
        <f>+IFERROR(D227-D226,"n/a")</f>
        <v>8.7059999999999995</v>
      </c>
      <c r="E225" s="14">
        <f t="shared" ref="E225:S225" si="1100">+IFERROR(E227-E226,"n/a")</f>
        <v>19.099</v>
      </c>
      <c r="F225" s="14">
        <f t="shared" si="1100"/>
        <v>35.594000000000001</v>
      </c>
      <c r="G225" s="14">
        <f t="shared" si="1100"/>
        <v>77.849999999999994</v>
      </c>
      <c r="H225" s="14">
        <f t="shared" si="1100"/>
        <v>66.2</v>
      </c>
      <c r="I225" s="14">
        <f t="shared" si="1100"/>
        <v>82.456000000000017</v>
      </c>
      <c r="J225" s="14">
        <f t="shared" si="1100"/>
        <v>118.29399999999998</v>
      </c>
      <c r="K225" s="14">
        <f t="shared" si="1100"/>
        <v>204.65000000000003</v>
      </c>
      <c r="L225" s="14">
        <f t="shared" si="1100"/>
        <v>151.99999999999994</v>
      </c>
      <c r="M225" s="14">
        <f t="shared" si="1100"/>
        <v>234.15600000000006</v>
      </c>
      <c r="N225" s="14">
        <f t="shared" si="1100"/>
        <v>249.39400000000001</v>
      </c>
      <c r="O225" s="14">
        <f t="shared" si="1100"/>
        <v>371.05000000000007</v>
      </c>
      <c r="P225" s="14">
        <f t="shared" si="1100"/>
        <v>302.59999999999991</v>
      </c>
      <c r="Q225" s="14">
        <f t="shared" si="1100"/>
        <v>345.65600000000006</v>
      </c>
      <c r="R225" s="14">
        <f t="shared" si="1100"/>
        <v>438.29399999999987</v>
      </c>
      <c r="S225" s="14">
        <f t="shared" si="1100"/>
        <v>581.05000000000018</v>
      </c>
      <c r="T225" s="10">
        <f>+IFERROR(T223+T224,"n/a")</f>
        <v>510.38770006065101</v>
      </c>
      <c r="U225" s="10">
        <f t="shared" ref="U225:AE225" si="1101">+IFERROR(U223+U224,"n/a")</f>
        <v>585.74568973927956</v>
      </c>
      <c r="V225" s="10">
        <f t="shared" si="1101"/>
        <v>617.73525619520319</v>
      </c>
      <c r="W225" s="10">
        <f t="shared" si="1101"/>
        <v>727.85576076013149</v>
      </c>
      <c r="X225" s="10">
        <f t="shared" si="1101"/>
        <v>626.02854727413251</v>
      </c>
      <c r="Y225" s="10">
        <f t="shared" si="1101"/>
        <v>691.73840782407524</v>
      </c>
      <c r="Z225" s="10">
        <f t="shared" si="1101"/>
        <v>777.68870210413252</v>
      </c>
      <c r="AA225" s="10">
        <f t="shared" si="1101"/>
        <v>869.08947058823526</v>
      </c>
      <c r="AB225" s="10">
        <f t="shared" si="1101"/>
        <v>783.12520371454286</v>
      </c>
      <c r="AC225" s="10">
        <f t="shared" si="1101"/>
        <v>895.36947510235814</v>
      </c>
      <c r="AD225" s="10">
        <f t="shared" si="1101"/>
        <v>940.4499490975162</v>
      </c>
      <c r="AE225" s="10">
        <f t="shared" si="1101"/>
        <v>1082.3706408835817</v>
      </c>
      <c r="AF225" s="10">
        <f t="shared" ref="AF225:AG225" si="1102">+IFERROR(AF223+AF224,"n/a")</f>
        <v>952.62372427172431</v>
      </c>
      <c r="AG225" s="10">
        <f t="shared" si="1102"/>
        <v>1053.843332114641</v>
      </c>
      <c r="AH225" s="10">
        <f t="shared" ref="AH225" si="1103">+IFERROR(AH223+AH224,"n/a")</f>
        <v>1123.7585440072678</v>
      </c>
      <c r="AI225" s="10">
        <f t="shared" ref="AI225:AJ225" si="1104">+IFERROR(AI223+AI224,"n/a")</f>
        <v>1277.5386329719397</v>
      </c>
      <c r="AJ225" s="10">
        <f t="shared" si="1104"/>
        <v>1093.2262986988965</v>
      </c>
      <c r="AK225" s="10">
        <f t="shared" ref="AK225:AM225" si="1105">+IFERROR(AK223+AK224,"n/a")</f>
        <v>1209.4066933261049</v>
      </c>
      <c r="AL225" s="10">
        <f t="shared" si="1105"/>
        <v>1289.6925584079945</v>
      </c>
      <c r="AM225" s="10">
        <f t="shared" si="1105"/>
        <v>1466.5581026691336</v>
      </c>
      <c r="AO225" s="17" t="str">
        <f>+IFERROR(AO227-AO226,"n/a")</f>
        <v>n/a</v>
      </c>
      <c r="AP225" s="10">
        <f t="shared" si="1087"/>
        <v>141.249</v>
      </c>
      <c r="AQ225" s="10">
        <f t="shared" si="1088"/>
        <v>471.6</v>
      </c>
      <c r="AR225" s="10">
        <f t="shared" si="1089"/>
        <v>1006.6</v>
      </c>
      <c r="AS225" s="10">
        <f t="shared" si="1090"/>
        <v>1667.6</v>
      </c>
      <c r="AT225" s="10">
        <f t="shared" si="1091"/>
        <v>2441.7244067552656</v>
      </c>
      <c r="AU225" s="10">
        <f t="shared" si="1092"/>
        <v>2964.5451277905754</v>
      </c>
      <c r="AV225" s="10">
        <f t="shared" si="1093"/>
        <v>3701.3152687979991</v>
      </c>
      <c r="AW225" s="10">
        <f t="shared" si="1094"/>
        <v>4407.7642333655731</v>
      </c>
      <c r="AX225" s="10">
        <f t="shared" si="1099"/>
        <v>5058.8836531021298</v>
      </c>
    </row>
    <row r="226" spans="2:50" ht="13.5" x14ac:dyDescent="0.35">
      <c r="B226" t="s">
        <v>372</v>
      </c>
      <c r="D226" s="36">
        <f t="shared" ref="D226:Y226" si="1106">+IFERROR(D228/D549,"n/a")</f>
        <v>0</v>
      </c>
      <c r="E226" s="36">
        <f t="shared" si="1106"/>
        <v>0</v>
      </c>
      <c r="F226" s="36">
        <f t="shared" si="1106"/>
        <v>0</v>
      </c>
      <c r="G226" s="36">
        <f t="shared" si="1106"/>
        <v>0</v>
      </c>
      <c r="H226" s="36">
        <f t="shared" si="1106"/>
        <v>0</v>
      </c>
      <c r="I226" s="36">
        <f t="shared" si="1106"/>
        <v>0</v>
      </c>
      <c r="J226" s="36">
        <f t="shared" si="1106"/>
        <v>0</v>
      </c>
      <c r="K226" s="36">
        <f t="shared" si="1106"/>
        <v>0</v>
      </c>
      <c r="L226" s="36">
        <f t="shared" si="1106"/>
        <v>0</v>
      </c>
      <c r="M226" s="36">
        <f t="shared" si="1106"/>
        <v>0</v>
      </c>
      <c r="N226" s="36">
        <f t="shared" si="1106"/>
        <v>0</v>
      </c>
      <c r="O226" s="36">
        <f t="shared" si="1106"/>
        <v>0</v>
      </c>
      <c r="P226" s="36">
        <f t="shared" si="1106"/>
        <v>0</v>
      </c>
      <c r="Q226" s="36">
        <f t="shared" si="1106"/>
        <v>0</v>
      </c>
      <c r="R226" s="36">
        <f t="shared" si="1106"/>
        <v>0</v>
      </c>
      <c r="S226" s="36">
        <f t="shared" si="1106"/>
        <v>0</v>
      </c>
      <c r="T226" s="36">
        <f t="shared" si="1106"/>
        <v>0</v>
      </c>
      <c r="U226" s="36">
        <f t="shared" si="1106"/>
        <v>0</v>
      </c>
      <c r="V226" s="36">
        <f t="shared" si="1106"/>
        <v>0</v>
      </c>
      <c r="W226" s="36">
        <f t="shared" si="1106"/>
        <v>0</v>
      </c>
      <c r="X226" s="36">
        <f t="shared" si="1106"/>
        <v>0</v>
      </c>
      <c r="Y226" s="36">
        <f t="shared" si="1106"/>
        <v>0</v>
      </c>
      <c r="Z226" s="36">
        <f>+IFERROR(Z228/Z549,"n/a")</f>
        <v>2.7404078420638453E-2</v>
      </c>
      <c r="AA226" s="36">
        <f t="shared" ref="AA226:AG226" si="1107">+IFERROR(AA228/AA549,"n/a")</f>
        <v>2.176300342509558</v>
      </c>
      <c r="AB226" s="36">
        <f t="shared" si="1107"/>
        <v>5.7939106600443315</v>
      </c>
      <c r="AC226" s="36">
        <f t="shared" si="1107"/>
        <v>20.357190316025505</v>
      </c>
      <c r="AD226" s="36">
        <f t="shared" si="1107"/>
        <v>43.122173722798458</v>
      </c>
      <c r="AE226" s="36">
        <f t="shared" si="1107"/>
        <v>59.050799436582089</v>
      </c>
      <c r="AF226" s="36">
        <f t="shared" si="1107"/>
        <v>65.33556828474731</v>
      </c>
      <c r="AG226" s="36">
        <f t="shared" si="1107"/>
        <v>79.077716305071988</v>
      </c>
      <c r="AH226" s="36">
        <f t="shared" ref="AH226:AI226" si="1108">+AG226*(1+AH241)</f>
        <v>85.403933609477747</v>
      </c>
      <c r="AI226" s="36">
        <f t="shared" si="1108"/>
        <v>93.944326970425536</v>
      </c>
      <c r="AJ226" s="15">
        <f t="shared" ref="AJ226" si="1109">+AF226*(1+AJ234)</f>
        <v>84.936238770171514</v>
      </c>
      <c r="AK226" s="15">
        <f t="shared" ref="AK226" si="1110">+AG226*(1+AK234)</f>
        <v>102.80103119659358</v>
      </c>
      <c r="AL226" s="15">
        <f t="shared" ref="AL226" si="1111">+AH226*(1+AL234)</f>
        <v>111.02511369232107</v>
      </c>
      <c r="AM226" s="15">
        <f t="shared" ref="AM226" si="1112">+AI226*(1+AM234)</f>
        <v>122.1276250615532</v>
      </c>
      <c r="AO226" s="36">
        <f t="shared" ref="AO226" si="1113">+IFERROR(AO228/AO549,"n/a")</f>
        <v>0</v>
      </c>
      <c r="AP226" s="36">
        <f t="shared" si="1087"/>
        <v>0</v>
      </c>
      <c r="AQ226" s="36">
        <f t="shared" si="1088"/>
        <v>0</v>
      </c>
      <c r="AR226" s="36">
        <f t="shared" si="1089"/>
        <v>0</v>
      </c>
      <c r="AS226" s="36">
        <f t="shared" si="1090"/>
        <v>0</v>
      </c>
      <c r="AT226" s="36">
        <f t="shared" si="1091"/>
        <v>0</v>
      </c>
      <c r="AU226" s="36">
        <f t="shared" si="1092"/>
        <v>2.2037044209301966</v>
      </c>
      <c r="AV226" s="36">
        <f t="shared" si="1093"/>
        <v>128.32407413545039</v>
      </c>
      <c r="AW226" s="36">
        <f t="shared" si="1094"/>
        <v>323.76154516972258</v>
      </c>
      <c r="AX226" s="36">
        <f t="shared" si="1099"/>
        <v>420.89000872063934</v>
      </c>
    </row>
    <row r="227" spans="2:50" s="1" customFormat="1" x14ac:dyDescent="0.2">
      <c r="B227" s="38" t="s">
        <v>393</v>
      </c>
      <c r="D227" s="39">
        <v>8.7059999999999995</v>
      </c>
      <c r="E227" s="39">
        <v>19.099</v>
      </c>
      <c r="F227" s="39">
        <v>35.594000000000001</v>
      </c>
      <c r="G227" s="39">
        <v>77.849999999999994</v>
      </c>
      <c r="H227" s="39">
        <v>66.2</v>
      </c>
      <c r="I227" s="48">
        <f t="shared" ref="I227:S227" si="1114">+I501-SUM(F227:H227)</f>
        <v>82.456000000000017</v>
      </c>
      <c r="J227" s="48">
        <f t="shared" si="1114"/>
        <v>118.29399999999998</v>
      </c>
      <c r="K227" s="48">
        <f t="shared" si="1114"/>
        <v>204.65000000000003</v>
      </c>
      <c r="L227" s="48">
        <f t="shared" si="1114"/>
        <v>151.99999999999994</v>
      </c>
      <c r="M227" s="48">
        <f t="shared" si="1114"/>
        <v>234.15600000000006</v>
      </c>
      <c r="N227" s="48">
        <f t="shared" si="1114"/>
        <v>249.39400000000001</v>
      </c>
      <c r="O227" s="48">
        <f t="shared" si="1114"/>
        <v>371.05000000000007</v>
      </c>
      <c r="P227" s="48">
        <f t="shared" si="1114"/>
        <v>302.59999999999991</v>
      </c>
      <c r="Q227" s="48">
        <f t="shared" si="1114"/>
        <v>345.65600000000006</v>
      </c>
      <c r="R227" s="48">
        <f t="shared" si="1114"/>
        <v>438.29399999999987</v>
      </c>
      <c r="S227" s="48">
        <f t="shared" si="1114"/>
        <v>581.05000000000018</v>
      </c>
      <c r="T227" s="48">
        <f>+IFERROR(T225+T226,"n/a")</f>
        <v>510.38770006065101</v>
      </c>
      <c r="U227" s="48">
        <f t="shared" ref="U227:Y227" si="1115">+IFERROR(U225+U226,"n/a")</f>
        <v>585.74568973927956</v>
      </c>
      <c r="V227" s="48">
        <f t="shared" si="1115"/>
        <v>617.73525619520319</v>
      </c>
      <c r="W227" s="48">
        <f t="shared" si="1115"/>
        <v>727.85576076013149</v>
      </c>
      <c r="X227" s="48">
        <f t="shared" si="1115"/>
        <v>626.02854727413251</v>
      </c>
      <c r="Y227" s="48">
        <f t="shared" si="1115"/>
        <v>691.73840782407524</v>
      </c>
      <c r="Z227" s="48">
        <f t="shared" ref="Z227" si="1116">+IFERROR(Z225+Z226,"n/a")</f>
        <v>777.71610618255318</v>
      </c>
      <c r="AA227" s="48">
        <f t="shared" ref="AA227" si="1117">+IFERROR(AA225+AA226,"n/a")</f>
        <v>871.26577093074479</v>
      </c>
      <c r="AB227" s="48">
        <f t="shared" ref="AB227" si="1118">+IFERROR(AB225+AB226,"n/a")</f>
        <v>788.91911437458714</v>
      </c>
      <c r="AC227" s="48">
        <f t="shared" ref="AC227" si="1119">+IFERROR(AC225+AC226,"n/a")</f>
        <v>915.72666541838362</v>
      </c>
      <c r="AD227" s="48">
        <f t="shared" ref="AD227" si="1120">+IFERROR(AD225+AD226,"n/a")</f>
        <v>983.57212282031469</v>
      </c>
      <c r="AE227" s="48">
        <f t="shared" ref="AE227:AG227" si="1121">+IFERROR(AE225+AE226,"n/a")</f>
        <v>1141.4214403201638</v>
      </c>
      <c r="AF227" s="48">
        <f t="shared" si="1121"/>
        <v>1017.9592925564716</v>
      </c>
      <c r="AG227" s="48">
        <f t="shared" si="1121"/>
        <v>1132.9210484197131</v>
      </c>
      <c r="AH227" s="48">
        <f t="shared" ref="AH227" si="1122">+IFERROR(AH225+AH226,"n/a")</f>
        <v>1209.1624776167455</v>
      </c>
      <c r="AI227" s="48">
        <f t="shared" ref="AI227:AJ227" si="1123">+IFERROR(AI225+AI226,"n/a")</f>
        <v>1371.4829599423651</v>
      </c>
      <c r="AJ227" s="48">
        <f t="shared" si="1123"/>
        <v>1178.162537469068</v>
      </c>
      <c r="AK227" s="48">
        <f t="shared" ref="AK227:AM227" si="1124">+IFERROR(AK225+AK226,"n/a")</f>
        <v>1312.2077245226985</v>
      </c>
      <c r="AL227" s="48">
        <f t="shared" si="1124"/>
        <v>1400.7176721003157</v>
      </c>
      <c r="AM227" s="48">
        <f t="shared" si="1124"/>
        <v>1588.6857277306867</v>
      </c>
      <c r="AO227" s="40" t="s">
        <v>64</v>
      </c>
      <c r="AP227" s="48">
        <f t="shared" si="1087"/>
        <v>141.249</v>
      </c>
      <c r="AQ227" s="48">
        <f t="shared" si="1088"/>
        <v>471.6</v>
      </c>
      <c r="AR227" s="48">
        <f t="shared" si="1089"/>
        <v>1006.6</v>
      </c>
      <c r="AS227" s="48">
        <f t="shared" si="1090"/>
        <v>1667.6</v>
      </c>
      <c r="AT227" s="48">
        <f t="shared" si="1091"/>
        <v>2441.7244067552656</v>
      </c>
      <c r="AU227" s="48">
        <f t="shared" si="1092"/>
        <v>2966.7488322115059</v>
      </c>
      <c r="AV227" s="48">
        <f t="shared" si="1093"/>
        <v>3829.6393429334494</v>
      </c>
      <c r="AW227" s="48">
        <f t="shared" si="1094"/>
        <v>4731.5257785352951</v>
      </c>
      <c r="AX227" s="48">
        <f t="shared" si="1099"/>
        <v>5479.7736618227691</v>
      </c>
    </row>
    <row r="228" spans="2:50" s="1" customFormat="1" x14ac:dyDescent="0.2">
      <c r="B228" s="20" t="s">
        <v>380</v>
      </c>
      <c r="D228" s="174">
        <v>0</v>
      </c>
      <c r="E228" s="174">
        <v>0</v>
      </c>
      <c r="F228" s="174">
        <v>0</v>
      </c>
      <c r="G228" s="174">
        <v>0</v>
      </c>
      <c r="H228" s="174">
        <v>0</v>
      </c>
      <c r="I228" s="174">
        <v>0</v>
      </c>
      <c r="J228" s="174">
        <v>0</v>
      </c>
      <c r="K228" s="174">
        <v>0</v>
      </c>
      <c r="L228" s="174">
        <v>0</v>
      </c>
      <c r="M228" s="174">
        <v>0</v>
      </c>
      <c r="N228" s="174">
        <v>0</v>
      </c>
      <c r="O228" s="174">
        <v>0</v>
      </c>
      <c r="P228" s="174">
        <v>0</v>
      </c>
      <c r="Q228" s="174">
        <v>0</v>
      </c>
      <c r="R228" s="174">
        <v>0</v>
      </c>
      <c r="S228" s="174">
        <v>0</v>
      </c>
      <c r="T228" s="174">
        <v>0</v>
      </c>
      <c r="U228" s="174">
        <v>0</v>
      </c>
      <c r="V228" s="174">
        <v>0</v>
      </c>
      <c r="W228" s="174">
        <v>0</v>
      </c>
      <c r="X228" s="174">
        <v>0</v>
      </c>
      <c r="Y228" s="174">
        <v>0</v>
      </c>
      <c r="Z228" s="146">
        <v>4.004695E-3</v>
      </c>
      <c r="AA228" s="146">
        <v>0.30626204200000001</v>
      </c>
      <c r="AB228" s="146">
        <v>0.846907509</v>
      </c>
      <c r="AC228" s="146">
        <v>2.9051746299999999</v>
      </c>
      <c r="AD228" s="146">
        <v>5.9536629150381684</v>
      </c>
      <c r="AE228" s="146">
        <v>8.1775318583761969</v>
      </c>
      <c r="AF228" s="146">
        <v>9.1005259708141679</v>
      </c>
      <c r="AG228" s="146">
        <v>10.92</v>
      </c>
      <c r="AH228" s="179">
        <f>+AH226*AH549</f>
        <v>11.927940387567711</v>
      </c>
      <c r="AI228" s="179">
        <f ca="1">+AI226*AI549</f>
        <v>13.123518037577977</v>
      </c>
      <c r="AJ228" s="179">
        <f>+AJ226*AJ549</f>
        <v>11.774286099515026</v>
      </c>
      <c r="AK228" s="179">
        <f t="shared" ref="AK228:AM228" si="1125">+AK226*AK549</f>
        <v>14.250792949627785</v>
      </c>
      <c r="AL228" s="179">
        <f t="shared" si="1125"/>
        <v>15.390856385598008</v>
      </c>
      <c r="AM228" s="179">
        <f t="shared" si="1125"/>
        <v>16.929942024157814</v>
      </c>
      <c r="AO228" s="174">
        <v>0</v>
      </c>
      <c r="AP228" s="179">
        <f t="shared" si="1087"/>
        <v>0</v>
      </c>
      <c r="AQ228" s="179">
        <f t="shared" si="1088"/>
        <v>0</v>
      </c>
      <c r="AR228" s="179">
        <f t="shared" si="1089"/>
        <v>0</v>
      </c>
      <c r="AS228" s="179">
        <f t="shared" si="1090"/>
        <v>0</v>
      </c>
      <c r="AT228" s="179">
        <f t="shared" si="1091"/>
        <v>0</v>
      </c>
      <c r="AU228" s="179">
        <f t="shared" si="1092"/>
        <v>0.31026673700000001</v>
      </c>
      <c r="AV228" s="179">
        <f t="shared" si="1093"/>
        <v>17.883276912414367</v>
      </c>
      <c r="AW228" s="179">
        <f t="shared" ca="1" si="1094"/>
        <v>45.071984395959859</v>
      </c>
      <c r="AX228" s="179">
        <f t="shared" si="1099"/>
        <v>58.345877458898627</v>
      </c>
    </row>
    <row r="229" spans="2:50" x14ac:dyDescent="0.2">
      <c r="T229" s="157"/>
    </row>
    <row r="230" spans="2:50" x14ac:dyDescent="0.2">
      <c r="B230" s="19" t="s">
        <v>85</v>
      </c>
    </row>
    <row r="231" spans="2:50" x14ac:dyDescent="0.2">
      <c r="B231" s="20" t="s">
        <v>370</v>
      </c>
      <c r="H231" s="46">
        <f t="shared" ref="H231:Q235" si="1126">+IFERROR(H223/D223-1,"n/a")</f>
        <v>6.603951297955434</v>
      </c>
      <c r="I231" s="46">
        <f t="shared" si="1126"/>
        <v>3.3172940991674968</v>
      </c>
      <c r="J231" s="46">
        <f>+IFERROR(J223/F223-1,"n/a")</f>
        <v>2.3234252963982689</v>
      </c>
      <c r="K231" s="46">
        <f t="shared" si="1126"/>
        <v>1.6287732819524732</v>
      </c>
      <c r="L231" s="46">
        <f t="shared" si="1126"/>
        <v>1.2960725075528692</v>
      </c>
      <c r="M231" s="46">
        <f t="shared" si="1126"/>
        <v>1.8397690889686622</v>
      </c>
      <c r="N231" s="46">
        <f t="shared" si="1126"/>
        <v>1.1082557018952781</v>
      </c>
      <c r="O231" s="46">
        <f t="shared" si="1126"/>
        <v>0.8130955289518691</v>
      </c>
      <c r="P231" s="46">
        <f t="shared" si="1126"/>
        <v>0.99078947368421066</v>
      </c>
      <c r="Q231" s="46">
        <f t="shared" si="1126"/>
        <v>0.47617827431285109</v>
      </c>
      <c r="R231" s="46">
        <f t="shared" ref="R231:AA235" si="1127">+IFERROR(R223/N223-1,"n/a")</f>
        <v>0.75743602492441631</v>
      </c>
      <c r="S231" s="46">
        <f t="shared" si="1127"/>
        <v>0.55304897865358282</v>
      </c>
      <c r="T231" s="46">
        <f t="shared" si="1127"/>
        <v>0.64320217580965022</v>
      </c>
      <c r="U231" s="46">
        <f t="shared" si="1127"/>
        <v>0.64332447242344948</v>
      </c>
      <c r="V231" s="46">
        <f t="shared" si="1127"/>
        <v>0.351843003645955</v>
      </c>
      <c r="W231" s="46">
        <f t="shared" si="1127"/>
        <v>0.21217970415744514</v>
      </c>
      <c r="X231" s="46">
        <f t="shared" si="1127"/>
        <v>0.19586999622066892</v>
      </c>
      <c r="Y231" s="46">
        <f t="shared" si="1127"/>
        <v>0.15175219690569874</v>
      </c>
      <c r="Z231" s="46">
        <f t="shared" si="1127"/>
        <v>0.24507877842821713</v>
      </c>
      <c r="AA231" s="46">
        <f t="shared" si="1127"/>
        <v>0.18522309514527868</v>
      </c>
      <c r="AB231" s="46">
        <f t="shared" ref="AB231:AG235" si="1128">+IFERROR(AB223/X223-1,"n/a")</f>
        <v>0.24999915913532211</v>
      </c>
      <c r="AC231" s="46">
        <f t="shared" si="1128"/>
        <v>0.30000122282276398</v>
      </c>
      <c r="AD231" s="46">
        <f t="shared" si="1128"/>
        <v>0.21000115220647531</v>
      </c>
      <c r="AE231" s="46">
        <f t="shared" si="1128"/>
        <v>0.25000090589228585</v>
      </c>
      <c r="AF231" s="168">
        <v>0.22</v>
      </c>
      <c r="AG231" s="168">
        <v>0.18</v>
      </c>
      <c r="AH231" s="168">
        <v>0.2</v>
      </c>
      <c r="AI231" s="168">
        <v>0.184</v>
      </c>
      <c r="AJ231" s="168">
        <v>0.15</v>
      </c>
      <c r="AK231" s="168">
        <v>0.15</v>
      </c>
      <c r="AL231" s="168">
        <v>0.15</v>
      </c>
      <c r="AM231" s="168">
        <v>0.15</v>
      </c>
      <c r="AP231" s="46" t="str">
        <f t="shared" ref="AP231:AQ235" si="1129">+IFERROR(AP223/AO223-1,"n/a")</f>
        <v>n/a</v>
      </c>
      <c r="AQ231" s="46">
        <f t="shared" si="1129"/>
        <v>2.3387846993607035</v>
      </c>
      <c r="AR231" s="46">
        <f t="shared" ref="AR231:AV231" si="1130">+IFERROR(AR223/AQ223-1,"n/a")</f>
        <v>1.1344359626802376</v>
      </c>
      <c r="AS231" s="46">
        <f t="shared" si="1130"/>
        <v>0.65190624233003347</v>
      </c>
      <c r="AT231" s="46">
        <f t="shared" si="1130"/>
        <v>0.41705518792150076</v>
      </c>
      <c r="AU231" s="46">
        <f t="shared" si="1130"/>
        <v>0.1944521966689412</v>
      </c>
      <c r="AV231" s="46">
        <f t="shared" si="1130"/>
        <v>0.25113857702920384</v>
      </c>
      <c r="AW231" s="46">
        <f t="shared" ref="AW231:AX231" si="1131">+IFERROR(AW223/AV223-1,"n/a")</f>
        <v>0.19468876228167886</v>
      </c>
      <c r="AX231" s="46">
        <f t="shared" si="1131"/>
        <v>0.14999999999999991</v>
      </c>
    </row>
    <row r="232" spans="2:50" ht="13.5" x14ac:dyDescent="0.35">
      <c r="B232" s="20" t="s">
        <v>371</v>
      </c>
      <c r="H232" s="47" t="str">
        <f t="shared" si="1126"/>
        <v>n/a</v>
      </c>
      <c r="I232" s="47" t="str">
        <f t="shared" si="1126"/>
        <v>n/a</v>
      </c>
      <c r="J232" s="47" t="str">
        <f>+IFERROR(J224/F224-1,"n/a")</f>
        <v>n/a</v>
      </c>
      <c r="K232" s="47" t="str">
        <f t="shared" si="1126"/>
        <v>n/a</v>
      </c>
      <c r="L232" s="47" t="str">
        <f t="shared" si="1126"/>
        <v>n/a</v>
      </c>
      <c r="M232" s="47" t="str">
        <f t="shared" si="1126"/>
        <v>n/a</v>
      </c>
      <c r="N232" s="47" t="str">
        <f t="shared" si="1126"/>
        <v>n/a</v>
      </c>
      <c r="O232" s="47" t="str">
        <f t="shared" si="1126"/>
        <v>n/a</v>
      </c>
      <c r="P232" s="47" t="str">
        <f t="shared" si="1126"/>
        <v>n/a</v>
      </c>
      <c r="Q232" s="47" t="str">
        <f t="shared" si="1126"/>
        <v>n/a</v>
      </c>
      <c r="R232" s="47" t="str">
        <f t="shared" si="1127"/>
        <v>n/a</v>
      </c>
      <c r="S232" s="47" t="str">
        <f t="shared" si="1127"/>
        <v>n/a</v>
      </c>
      <c r="T232" s="47" t="str">
        <f t="shared" si="1127"/>
        <v>n/a</v>
      </c>
      <c r="U232" s="47" t="str">
        <f t="shared" si="1127"/>
        <v>n/a</v>
      </c>
      <c r="V232" s="47" t="str">
        <f t="shared" si="1127"/>
        <v>n/a</v>
      </c>
      <c r="W232" s="47">
        <f t="shared" si="1127"/>
        <v>5.1209414255891366</v>
      </c>
      <c r="X232" s="47">
        <f t="shared" si="1127"/>
        <v>1.3871692677516054</v>
      </c>
      <c r="Y232" s="47">
        <f t="shared" si="1127"/>
        <v>1.116979182303147</v>
      </c>
      <c r="Z232" s="47">
        <f t="shared" si="1127"/>
        <v>0.58433551968715158</v>
      </c>
      <c r="AA232" s="47">
        <f t="shared" si="1127"/>
        <v>0.40406989564967755</v>
      </c>
      <c r="AB232" s="47">
        <f t="shared" si="1128"/>
        <v>0.26878890959789192</v>
      </c>
      <c r="AC232" s="47">
        <f t="shared" si="1128"/>
        <v>0.19627305095184333</v>
      </c>
      <c r="AD232" s="47">
        <f t="shared" si="1128"/>
        <v>0.19613512336084638</v>
      </c>
      <c r="AE232" s="47">
        <f t="shared" si="1128"/>
        <v>0.15305270717269637</v>
      </c>
      <c r="AF232" s="169">
        <v>0.15</v>
      </c>
      <c r="AG232" s="169">
        <v>0.12</v>
      </c>
      <c r="AH232" s="169">
        <v>0.1</v>
      </c>
      <c r="AI232" s="169">
        <v>0.1</v>
      </c>
      <c r="AJ232" s="169">
        <v>0.1</v>
      </c>
      <c r="AK232" s="169">
        <v>0.1</v>
      </c>
      <c r="AL232" s="169">
        <v>0.1</v>
      </c>
      <c r="AM232" s="169">
        <v>0.1</v>
      </c>
      <c r="AP232" s="47" t="str">
        <f t="shared" si="1129"/>
        <v>n/a</v>
      </c>
      <c r="AQ232" s="47" t="str">
        <f t="shared" si="1129"/>
        <v>n/a</v>
      </c>
      <c r="AR232" s="47" t="str">
        <f t="shared" ref="AR232:AV232" si="1132">+IFERROR(AR224/AQ224-1,"n/a")</f>
        <v>n/a</v>
      </c>
      <c r="AS232" s="47" t="str">
        <f t="shared" si="1132"/>
        <v>n/a</v>
      </c>
      <c r="AT232" s="47">
        <f t="shared" si="1132"/>
        <v>16.831223161098968</v>
      </c>
      <c r="AU232" s="47">
        <f t="shared" si="1132"/>
        <v>0.75655708377051223</v>
      </c>
      <c r="AV232" s="47">
        <f t="shared" si="1132"/>
        <v>0.1995516369795145</v>
      </c>
      <c r="AW232" s="47">
        <f t="shared" ref="AW232:AX232" si="1133">+IFERROR(AW224/AV224-1,"n/a")</f>
        <v>0.11605275937196069</v>
      </c>
      <c r="AX232" s="47">
        <f t="shared" si="1133"/>
        <v>0.10000000000000009</v>
      </c>
    </row>
    <row r="233" spans="2:50" x14ac:dyDescent="0.2">
      <c r="B233" s="30" t="s">
        <v>350</v>
      </c>
      <c r="H233" s="46">
        <f t="shared" si="1126"/>
        <v>6.603951297955434</v>
      </c>
      <c r="I233" s="46">
        <f t="shared" si="1126"/>
        <v>3.3172940991674968</v>
      </c>
      <c r="J233" s="46">
        <f>+IFERROR(J225/F225-1,"n/a")</f>
        <v>2.3234252963982689</v>
      </c>
      <c r="K233" s="46">
        <f t="shared" si="1126"/>
        <v>1.6287732819524732</v>
      </c>
      <c r="L233" s="46">
        <f t="shared" si="1126"/>
        <v>1.2960725075528692</v>
      </c>
      <c r="M233" s="46">
        <f t="shared" si="1126"/>
        <v>1.8397690889686622</v>
      </c>
      <c r="N233" s="46">
        <f t="shared" si="1126"/>
        <v>1.1082557018952781</v>
      </c>
      <c r="O233" s="46">
        <f t="shared" si="1126"/>
        <v>0.8130955289518691</v>
      </c>
      <c r="P233" s="46">
        <f t="shared" si="1126"/>
        <v>0.99078947368421066</v>
      </c>
      <c r="Q233" s="46">
        <f t="shared" si="1126"/>
        <v>0.47617827431285109</v>
      </c>
      <c r="R233" s="46">
        <f t="shared" si="1127"/>
        <v>0.75743602492441631</v>
      </c>
      <c r="S233" s="46">
        <f t="shared" si="1127"/>
        <v>0.56596146071957976</v>
      </c>
      <c r="T233" s="46">
        <f t="shared" si="1127"/>
        <v>0.68667448797307062</v>
      </c>
      <c r="U233" s="46">
        <f t="shared" si="1127"/>
        <v>0.69459141383132206</v>
      </c>
      <c r="V233" s="46">
        <f t="shared" si="1127"/>
        <v>0.40940842492756779</v>
      </c>
      <c r="W233" s="46">
        <f t="shared" si="1127"/>
        <v>0.25265598616320672</v>
      </c>
      <c r="X233" s="46">
        <f t="shared" si="1127"/>
        <v>0.22657451815500163</v>
      </c>
      <c r="Y233" s="46">
        <f t="shared" si="1127"/>
        <v>0.18095347510277704</v>
      </c>
      <c r="Z233" s="46">
        <f t="shared" si="1127"/>
        <v>0.25893527090249857</v>
      </c>
      <c r="AA233" s="46">
        <f t="shared" si="1127"/>
        <v>0.19404079412740693</v>
      </c>
      <c r="AB233" s="46">
        <f t="shared" si="1128"/>
        <v>0.25094168169238307</v>
      </c>
      <c r="AC233" s="46">
        <f t="shared" si="1128"/>
        <v>0.29437582903459503</v>
      </c>
      <c r="AD233" s="46">
        <f t="shared" si="1128"/>
        <v>0.20928842935870495</v>
      </c>
      <c r="AE233" s="46">
        <f t="shared" si="1128"/>
        <v>0.24540761050871907</v>
      </c>
      <c r="AF233" s="46">
        <f t="shared" si="1128"/>
        <v>0.21643859724244741</v>
      </c>
      <c r="AG233" s="46">
        <f t="shared" si="1128"/>
        <v>0.17699269566249876</v>
      </c>
      <c r="AH233" s="46">
        <f t="shared" ref="AH233:AJ233" si="1134">+IFERROR(AH225/AD225-1,"n/a")</f>
        <v>0.19491584329996514</v>
      </c>
      <c r="AI233" s="46">
        <f t="shared" si="1134"/>
        <v>0.18031530486547087</v>
      </c>
      <c r="AJ233" s="46">
        <f t="shared" si="1134"/>
        <v>0.14759507961515661</v>
      </c>
      <c r="AK233" s="46">
        <f t="shared" ref="AK233:AK235" si="1135">+IFERROR(AK225/AG225-1,"n/a")</f>
        <v>0.14761526355090226</v>
      </c>
      <c r="AL233" s="46">
        <f t="shared" ref="AL233:AL235" si="1136">+IFERROR(AL225/AH225-1,"n/a")</f>
        <v>0.14765984675766219</v>
      </c>
      <c r="AM233" s="46">
        <f t="shared" ref="AM233:AM235" si="1137">+IFERROR(AM225/AI225-1,"n/a")</f>
        <v>0.14795597159944807</v>
      </c>
      <c r="AP233" s="46" t="str">
        <f t="shared" si="1129"/>
        <v>n/a</v>
      </c>
      <c r="AQ233" s="46">
        <f t="shared" si="1129"/>
        <v>2.3387846993607035</v>
      </c>
      <c r="AR233" s="46">
        <f t="shared" ref="AR233:AV233" si="1138">+IFERROR(AR225/AQ225-1,"n/a")</f>
        <v>1.1344359626802376</v>
      </c>
      <c r="AS233" s="46">
        <f t="shared" si="1138"/>
        <v>0.6566660043711503</v>
      </c>
      <c r="AT233" s="46">
        <f t="shared" si="1138"/>
        <v>0.46421468383021458</v>
      </c>
      <c r="AU233" s="46">
        <f t="shared" si="1138"/>
        <v>0.21411946392839254</v>
      </c>
      <c r="AV233" s="46">
        <f t="shared" si="1138"/>
        <v>0.24852721387193921</v>
      </c>
      <c r="AW233" s="46">
        <f t="shared" ref="AW233:AX233" si="1139">+IFERROR(AW225/AV225-1,"n/a")</f>
        <v>0.19086430451437697</v>
      </c>
      <c r="AX233" s="46">
        <f t="shared" si="1139"/>
        <v>0.14772101801810544</v>
      </c>
    </row>
    <row r="234" spans="2:50" ht="13.5" x14ac:dyDescent="0.35">
      <c r="B234" s="20" t="s">
        <v>372</v>
      </c>
      <c r="H234" s="47" t="str">
        <f t="shared" si="1126"/>
        <v>n/a</v>
      </c>
      <c r="I234" s="47" t="str">
        <f t="shared" si="1126"/>
        <v>n/a</v>
      </c>
      <c r="J234" s="47" t="str">
        <f>+IFERROR(J226/F226-1,"n/a")</f>
        <v>n/a</v>
      </c>
      <c r="K234" s="47" t="str">
        <f t="shared" si="1126"/>
        <v>n/a</v>
      </c>
      <c r="L234" s="47" t="str">
        <f t="shared" si="1126"/>
        <v>n/a</v>
      </c>
      <c r="M234" s="47" t="str">
        <f t="shared" si="1126"/>
        <v>n/a</v>
      </c>
      <c r="N234" s="47" t="str">
        <f t="shared" si="1126"/>
        <v>n/a</v>
      </c>
      <c r="O234" s="47" t="str">
        <f t="shared" si="1126"/>
        <v>n/a</v>
      </c>
      <c r="P234" s="47" t="str">
        <f t="shared" si="1126"/>
        <v>n/a</v>
      </c>
      <c r="Q234" s="47" t="str">
        <f t="shared" si="1126"/>
        <v>n/a</v>
      </c>
      <c r="R234" s="47" t="str">
        <f t="shared" si="1127"/>
        <v>n/a</v>
      </c>
      <c r="S234" s="47" t="str">
        <f t="shared" si="1127"/>
        <v>n/a</v>
      </c>
      <c r="T234" s="47" t="str">
        <f t="shared" si="1127"/>
        <v>n/a</v>
      </c>
      <c r="U234" s="47" t="str">
        <f t="shared" si="1127"/>
        <v>n/a</v>
      </c>
      <c r="V234" s="47" t="str">
        <f t="shared" si="1127"/>
        <v>n/a</v>
      </c>
      <c r="W234" s="47" t="str">
        <f t="shared" si="1127"/>
        <v>n/a</v>
      </c>
      <c r="X234" s="47" t="str">
        <f t="shared" si="1127"/>
        <v>n/a</v>
      </c>
      <c r="Y234" s="47" t="str">
        <f t="shared" si="1127"/>
        <v>n/a</v>
      </c>
      <c r="Z234" s="47" t="str">
        <f t="shared" si="1127"/>
        <v>n/a</v>
      </c>
      <c r="AA234" s="47" t="str">
        <f t="shared" si="1127"/>
        <v>n/a</v>
      </c>
      <c r="AB234" s="47" t="str">
        <f t="shared" si="1128"/>
        <v>n/a</v>
      </c>
      <c r="AC234" s="47" t="str">
        <f t="shared" si="1128"/>
        <v>n/a</v>
      </c>
      <c r="AD234" s="47">
        <f t="shared" si="1128"/>
        <v>1572.5677391115059</v>
      </c>
      <c r="AE234" s="47">
        <f t="shared" si="1128"/>
        <v>26.133570805070416</v>
      </c>
      <c r="AF234" s="47">
        <f t="shared" si="1128"/>
        <v>10.276592291163738</v>
      </c>
      <c r="AG234" s="47">
        <f t="shared" si="1128"/>
        <v>2.8845103414306021</v>
      </c>
      <c r="AH234" s="47">
        <f t="shared" ref="AH234:AI234" si="1140">+IFERROR(AH226/AD226-1,"n/a")</f>
        <v>0.9805108656738506</v>
      </c>
      <c r="AI234" s="47">
        <f t="shared" si="1140"/>
        <v>0.59090694565985569</v>
      </c>
      <c r="AJ234" s="169">
        <v>0.3</v>
      </c>
      <c r="AK234" s="169">
        <v>0.3</v>
      </c>
      <c r="AL234" s="169">
        <v>0.3</v>
      </c>
      <c r="AM234" s="169">
        <v>0.3</v>
      </c>
      <c r="AP234" s="47" t="str">
        <f t="shared" si="1129"/>
        <v>n/a</v>
      </c>
      <c r="AQ234" s="47" t="str">
        <f t="shared" si="1129"/>
        <v>n/a</v>
      </c>
      <c r="AR234" s="47" t="str">
        <f t="shared" ref="AR234:AV234" si="1141">+IFERROR(AR226/AQ226-1,"n/a")</f>
        <v>n/a</v>
      </c>
      <c r="AS234" s="47" t="str">
        <f t="shared" si="1141"/>
        <v>n/a</v>
      </c>
      <c r="AT234" s="47" t="str">
        <f t="shared" si="1141"/>
        <v>n/a</v>
      </c>
      <c r="AU234" s="47" t="str">
        <f t="shared" si="1141"/>
        <v>n/a</v>
      </c>
      <c r="AV234" s="47">
        <f t="shared" si="1141"/>
        <v>57.231073512700966</v>
      </c>
      <c r="AW234" s="47">
        <f t="shared" ref="AW234:AX234" si="1142">+IFERROR(AW226/AV226-1,"n/a")</f>
        <v>1.5229992684613594</v>
      </c>
      <c r="AX234" s="47">
        <f t="shared" si="1142"/>
        <v>0.30000000000000004</v>
      </c>
    </row>
    <row r="235" spans="2:50" x14ac:dyDescent="0.2">
      <c r="B235" s="30" t="s">
        <v>394</v>
      </c>
      <c r="H235" s="46">
        <f t="shared" si="1126"/>
        <v>6.603951297955434</v>
      </c>
      <c r="I235" s="46">
        <f t="shared" si="1126"/>
        <v>3.3172940991674968</v>
      </c>
      <c r="J235" s="46">
        <f>+IFERROR(J227/F227-1,"n/a")</f>
        <v>2.3234252963982689</v>
      </c>
      <c r="K235" s="46">
        <f t="shared" si="1126"/>
        <v>1.6287732819524732</v>
      </c>
      <c r="L235" s="46">
        <f t="shared" si="1126"/>
        <v>1.2960725075528692</v>
      </c>
      <c r="M235" s="46">
        <f t="shared" si="1126"/>
        <v>1.8397690889686622</v>
      </c>
      <c r="N235" s="46">
        <f t="shared" si="1126"/>
        <v>1.1082557018952781</v>
      </c>
      <c r="O235" s="46">
        <f t="shared" si="1126"/>
        <v>0.8130955289518691</v>
      </c>
      <c r="P235" s="46">
        <f t="shared" si="1126"/>
        <v>0.99078947368421066</v>
      </c>
      <c r="Q235" s="46">
        <f t="shared" si="1126"/>
        <v>0.47617827431285109</v>
      </c>
      <c r="R235" s="46">
        <f t="shared" si="1127"/>
        <v>0.75743602492441631</v>
      </c>
      <c r="S235" s="46">
        <f t="shared" si="1127"/>
        <v>0.56596146071957976</v>
      </c>
      <c r="T235" s="46">
        <f t="shared" si="1127"/>
        <v>0.68667448797307062</v>
      </c>
      <c r="U235" s="46">
        <f t="shared" si="1127"/>
        <v>0.69459141383132206</v>
      </c>
      <c r="V235" s="46">
        <f t="shared" si="1127"/>
        <v>0.40940842492756779</v>
      </c>
      <c r="W235" s="46">
        <f t="shared" si="1127"/>
        <v>0.25265598616320672</v>
      </c>
      <c r="X235" s="46">
        <f t="shared" si="1127"/>
        <v>0.22657451815500163</v>
      </c>
      <c r="Y235" s="46">
        <f t="shared" si="1127"/>
        <v>0.18095347510277704</v>
      </c>
      <c r="Z235" s="46">
        <f t="shared" si="1127"/>
        <v>0.25897963307568816</v>
      </c>
      <c r="AA235" s="46">
        <f t="shared" si="1127"/>
        <v>0.19703081008913625</v>
      </c>
      <c r="AB235" s="46">
        <f t="shared" si="1128"/>
        <v>0.26019670797716232</v>
      </c>
      <c r="AC235" s="46">
        <f t="shared" si="1128"/>
        <v>0.32380485897679634</v>
      </c>
      <c r="AD235" s="46">
        <f t="shared" si="1128"/>
        <v>0.26469300944301266</v>
      </c>
      <c r="AE235" s="46">
        <f t="shared" si="1128"/>
        <v>0.31007263042231137</v>
      </c>
      <c r="AF235" s="46">
        <f t="shared" si="1128"/>
        <v>0.29032149685390141</v>
      </c>
      <c r="AG235" s="46">
        <f t="shared" si="1128"/>
        <v>0.23718254715460985</v>
      </c>
      <c r="AH235" s="46">
        <f t="shared" ref="AH235:AJ235" si="1143">+IFERROR(AH227/AD227-1,"n/a")</f>
        <v>0.22935822352261104</v>
      </c>
      <c r="AI235" s="46">
        <f t="shared" si="1143"/>
        <v>0.20155703362087718</v>
      </c>
      <c r="AJ235" s="46">
        <f t="shared" si="1143"/>
        <v>0.15737686770388115</v>
      </c>
      <c r="AK235" s="46">
        <f t="shared" si="1135"/>
        <v>0.15825169490236624</v>
      </c>
      <c r="AL235" s="46">
        <f t="shared" si="1136"/>
        <v>0.15841973103658047</v>
      </c>
      <c r="AM235" s="46">
        <f t="shared" si="1137"/>
        <v>0.15837073746614339</v>
      </c>
      <c r="AP235" s="46" t="str">
        <f t="shared" si="1129"/>
        <v>n/a</v>
      </c>
      <c r="AQ235" s="46">
        <f t="shared" si="1129"/>
        <v>2.3387846993607035</v>
      </c>
      <c r="AR235" s="46">
        <f t="shared" ref="AR235:AV235" si="1144">+IFERROR(AR227/AQ227-1,"n/a")</f>
        <v>1.1344359626802376</v>
      </c>
      <c r="AS235" s="46">
        <f t="shared" si="1144"/>
        <v>0.6566660043711503</v>
      </c>
      <c r="AT235" s="46">
        <f t="shared" si="1144"/>
        <v>0.46421468383021458</v>
      </c>
      <c r="AU235" s="46">
        <f t="shared" si="1144"/>
        <v>0.21502198364553737</v>
      </c>
      <c r="AV235" s="46">
        <f t="shared" si="1144"/>
        <v>0.29085391434323693</v>
      </c>
      <c r="AW235" s="46">
        <f t="shared" ref="AW235:AX235" si="1145">+IFERROR(AW227/AV227-1,"n/a")</f>
        <v>0.2355016634310565</v>
      </c>
      <c r="AX235" s="46">
        <f t="shared" si="1145"/>
        <v>0.15814092922877476</v>
      </c>
    </row>
    <row r="236" spans="2:50" x14ac:dyDescent="0.2">
      <c r="B236" s="30"/>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row>
    <row r="237" spans="2:50" x14ac:dyDescent="0.2">
      <c r="B237" s="19" t="s">
        <v>261</v>
      </c>
      <c r="H237" s="46"/>
      <c r="I237" s="46"/>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row>
    <row r="238" spans="2:50" x14ac:dyDescent="0.2">
      <c r="B238" s="20" t="s">
        <v>370</v>
      </c>
      <c r="E238" s="46">
        <f t="shared" ref="E238:G242" si="1146">IFERROR(E223/D223-1,"n/a")</f>
        <v>1.1937744084539399</v>
      </c>
      <c r="F238" s="46">
        <f t="shared" si="1146"/>
        <v>0.86365778313000674</v>
      </c>
      <c r="G238" s="46">
        <f t="shared" si="1146"/>
        <v>1.1871663763555653</v>
      </c>
      <c r="H238" s="46">
        <f t="shared" ref="H238:S238" si="1147">IFERROR(H223/G223-1,"n/a")</f>
        <v>-0.14964675658317272</v>
      </c>
      <c r="I238" s="46">
        <f t="shared" si="1147"/>
        <v>0.24555891238670724</v>
      </c>
      <c r="J238" s="46">
        <f t="shared" si="1147"/>
        <v>0.43463180362860143</v>
      </c>
      <c r="K238" s="46">
        <f t="shared" si="1147"/>
        <v>0.73001166584949417</v>
      </c>
      <c r="L238" s="46">
        <f t="shared" si="1147"/>
        <v>-0.25726850720742767</v>
      </c>
      <c r="M238" s="46">
        <f t="shared" si="1147"/>
        <v>0.54050000000000109</v>
      </c>
      <c r="N238" s="46">
        <f t="shared" si="1147"/>
        <v>6.5076273937033191E-2</v>
      </c>
      <c r="O238" s="46">
        <f t="shared" si="1147"/>
        <v>0.48780644281738961</v>
      </c>
      <c r="P238" s="46">
        <f t="shared" si="1147"/>
        <v>-0.18447648564883479</v>
      </c>
      <c r="Q238" s="46">
        <f t="shared" si="1147"/>
        <v>0.14228684732319952</v>
      </c>
      <c r="R238" s="46">
        <f t="shared" si="1147"/>
        <v>0.26800634156502356</v>
      </c>
      <c r="S238" s="46">
        <f t="shared" si="1147"/>
        <v>0.31477689297460643</v>
      </c>
      <c r="T238" s="46">
        <f t="shared" ref="T238:AG238" si="1148">IFERROR(T223/S223-1,"n/a")</f>
        <v>-0.13713602621371157</v>
      </c>
      <c r="U238" s="46">
        <f t="shared" si="1148"/>
        <v>0.14237186291986292</v>
      </c>
      <c r="V238" s="46">
        <f t="shared" si="1148"/>
        <v>4.3096193228041813E-2</v>
      </c>
      <c r="W238" s="46">
        <f t="shared" si="1148"/>
        <v>0.17894301398951651</v>
      </c>
      <c r="X238" s="46">
        <f t="shared" si="1148"/>
        <v>-0.14874573998251461</v>
      </c>
      <c r="Y238" s="46">
        <f t="shared" si="1148"/>
        <v>0.10022770615479315</v>
      </c>
      <c r="Z238" s="46">
        <f t="shared" si="1148"/>
        <v>0.12761836924356174</v>
      </c>
      <c r="AA238" s="46">
        <f t="shared" si="1148"/>
        <v>0.12226672902136992</v>
      </c>
      <c r="AB238" s="46">
        <f t="shared" si="1148"/>
        <v>-0.10222209338420818</v>
      </c>
      <c r="AC238" s="46">
        <f t="shared" si="1148"/>
        <v>0.14423866042767064</v>
      </c>
      <c r="AD238" s="46">
        <f t="shared" si="1148"/>
        <v>4.9552494320934226E-2</v>
      </c>
      <c r="AE238" s="46">
        <f t="shared" si="1148"/>
        <v>0.15936619181838974</v>
      </c>
      <c r="AF238" s="46">
        <f t="shared" si="1148"/>
        <v>-0.12376939815942156</v>
      </c>
      <c r="AG238" s="46">
        <f t="shared" si="1148"/>
        <v>0.10672263877430432</v>
      </c>
      <c r="AH238" s="46">
        <f t="shared" ref="AH238:AJ238" si="1149">IFERROR(AH223/AG223-1,"n/a")</f>
        <v>6.7341519648407733E-2</v>
      </c>
      <c r="AI238" s="46">
        <f t="shared" si="1149"/>
        <v>0.14390797592747773</v>
      </c>
      <c r="AJ238" s="46">
        <f t="shared" si="1149"/>
        <v>-0.14893142557714101</v>
      </c>
      <c r="AK238" s="46">
        <f t="shared" ref="AK238:AK242" si="1150">IFERROR(AK223/AJ223-1,"n/a")</f>
        <v>0.10672263877430455</v>
      </c>
      <c r="AL238" s="46">
        <f t="shared" ref="AL238:AL242" si="1151">IFERROR(AL223/AK223-1,"n/a")</f>
        <v>6.7341519648407955E-2</v>
      </c>
      <c r="AM238" s="46">
        <f t="shared" ref="AM238:AM242" si="1152">IFERROR(AM223/AL223-1,"n/a")</f>
        <v>0.14390797592747773</v>
      </c>
    </row>
    <row r="239" spans="2:50" ht="13.5" x14ac:dyDescent="0.35">
      <c r="B239" s="20" t="s">
        <v>371</v>
      </c>
      <c r="E239" s="47" t="str">
        <f t="shared" si="1146"/>
        <v>n/a</v>
      </c>
      <c r="F239" s="47" t="str">
        <f t="shared" si="1146"/>
        <v>n/a</v>
      </c>
      <c r="G239" s="47" t="str">
        <f t="shared" si="1146"/>
        <v>n/a</v>
      </c>
      <c r="H239" s="47" t="str">
        <f t="shared" ref="H239:S239" si="1153">IFERROR(H224/G224-1,"n/a")</f>
        <v>n/a</v>
      </c>
      <c r="I239" s="47" t="str">
        <f t="shared" si="1153"/>
        <v>n/a</v>
      </c>
      <c r="J239" s="47" t="str">
        <f t="shared" si="1153"/>
        <v>n/a</v>
      </c>
      <c r="K239" s="47" t="str">
        <f t="shared" si="1153"/>
        <v>n/a</v>
      </c>
      <c r="L239" s="47" t="str">
        <f t="shared" si="1153"/>
        <v>n/a</v>
      </c>
      <c r="M239" s="47" t="str">
        <f t="shared" si="1153"/>
        <v>n/a</v>
      </c>
      <c r="N239" s="47" t="str">
        <f t="shared" si="1153"/>
        <v>n/a</v>
      </c>
      <c r="O239" s="47" t="str">
        <f t="shared" si="1153"/>
        <v>n/a</v>
      </c>
      <c r="P239" s="47" t="str">
        <f t="shared" si="1153"/>
        <v>n/a</v>
      </c>
      <c r="Q239" s="47" t="str">
        <f t="shared" si="1153"/>
        <v>n/a</v>
      </c>
      <c r="R239" s="47" t="str">
        <f t="shared" si="1153"/>
        <v>n/a</v>
      </c>
      <c r="S239" s="47" t="str">
        <f t="shared" si="1153"/>
        <v>n/a</v>
      </c>
      <c r="T239" s="47">
        <f t="shared" ref="T239:AG239" si="1154">IFERROR(T224/S224-1,"n/a")</f>
        <v>1.7456140973734517</v>
      </c>
      <c r="U239" s="47">
        <f t="shared" si="1154"/>
        <v>0.34710002662288364</v>
      </c>
      <c r="V239" s="47">
        <f t="shared" si="1154"/>
        <v>0.42378923406455038</v>
      </c>
      <c r="W239" s="47">
        <f t="shared" si="1154"/>
        <v>0.16233998516913117</v>
      </c>
      <c r="X239" s="47">
        <f t="shared" si="1154"/>
        <v>7.0790445233614774E-2</v>
      </c>
      <c r="Y239" s="47">
        <f t="shared" si="1154"/>
        <v>0.19462945144508259</v>
      </c>
      <c r="Z239" s="47">
        <f t="shared" si="1154"/>
        <v>6.5555993622241848E-2</v>
      </c>
      <c r="AA239" s="47">
        <f t="shared" si="1154"/>
        <v>3.0088994033367067E-2</v>
      </c>
      <c r="AB239" s="47">
        <f t="shared" si="1154"/>
        <v>-3.2379338361102072E-2</v>
      </c>
      <c r="AC239" s="47">
        <f t="shared" si="1154"/>
        <v>0.12635207308838381</v>
      </c>
      <c r="AD239" s="47">
        <f t="shared" si="1154"/>
        <v>6.543313741382395E-2</v>
      </c>
      <c r="AE239" s="47">
        <f t="shared" si="1154"/>
        <v>-7.0127697097499553E-3</v>
      </c>
      <c r="AF239" s="47">
        <f t="shared" si="1154"/>
        <v>-3.4941114172267973E-2</v>
      </c>
      <c r="AG239" s="47">
        <f t="shared" si="1154"/>
        <v>9.6968975529556634E-2</v>
      </c>
      <c r="AH239" s="47">
        <f t="shared" ref="AH239:AJ239" si="1155">IFERROR(AH224/AG224-1,"n/a")</f>
        <v>4.6407545674291395E-2</v>
      </c>
      <c r="AI239" s="47">
        <f t="shared" si="1155"/>
        <v>-7.0127697097500663E-3</v>
      </c>
      <c r="AJ239" s="47">
        <f t="shared" si="1155"/>
        <v>-3.4941114172267862E-2</v>
      </c>
      <c r="AK239" s="47">
        <f t="shared" si="1150"/>
        <v>9.6968975529556634E-2</v>
      </c>
      <c r="AL239" s="47">
        <f t="shared" si="1151"/>
        <v>4.6407545674291173E-2</v>
      </c>
      <c r="AM239" s="47">
        <f t="shared" si="1152"/>
        <v>-7.0127697097500663E-3</v>
      </c>
    </row>
    <row r="240" spans="2:50" x14ac:dyDescent="0.2">
      <c r="B240" s="30" t="s">
        <v>350</v>
      </c>
      <c r="E240" s="46">
        <f t="shared" si="1146"/>
        <v>1.1937744084539399</v>
      </c>
      <c r="F240" s="46">
        <f t="shared" si="1146"/>
        <v>0.86365778313000674</v>
      </c>
      <c r="G240" s="46">
        <f t="shared" si="1146"/>
        <v>1.1871663763555653</v>
      </c>
      <c r="H240" s="46">
        <f t="shared" ref="H240:S240" si="1156">IFERROR(H225/G225-1,"n/a")</f>
        <v>-0.14964675658317272</v>
      </c>
      <c r="I240" s="46">
        <f t="shared" si="1156"/>
        <v>0.24555891238670724</v>
      </c>
      <c r="J240" s="46">
        <f t="shared" si="1156"/>
        <v>0.43463180362860143</v>
      </c>
      <c r="K240" s="46">
        <f t="shared" si="1156"/>
        <v>0.73001166584949417</v>
      </c>
      <c r="L240" s="46">
        <f t="shared" si="1156"/>
        <v>-0.25726850720742767</v>
      </c>
      <c r="M240" s="46">
        <f t="shared" si="1156"/>
        <v>0.54050000000000109</v>
      </c>
      <c r="N240" s="46">
        <f t="shared" si="1156"/>
        <v>6.5076273937033191E-2</v>
      </c>
      <c r="O240" s="46">
        <f t="shared" si="1156"/>
        <v>0.48780644281738961</v>
      </c>
      <c r="P240" s="46">
        <f t="shared" si="1156"/>
        <v>-0.18447648564883479</v>
      </c>
      <c r="Q240" s="46">
        <f t="shared" si="1156"/>
        <v>0.14228684732319952</v>
      </c>
      <c r="R240" s="46">
        <f t="shared" si="1156"/>
        <v>0.26800634156502356</v>
      </c>
      <c r="S240" s="46">
        <f t="shared" si="1156"/>
        <v>0.32570831451035231</v>
      </c>
      <c r="T240" s="46">
        <f t="shared" ref="T240:AG240" si="1157">IFERROR(T225/S225-1,"n/a")</f>
        <v>-0.12161139306316004</v>
      </c>
      <c r="U240" s="46">
        <f t="shared" si="1157"/>
        <v>0.14764852223059743</v>
      </c>
      <c r="V240" s="46">
        <f t="shared" si="1157"/>
        <v>5.4613404786917785E-2</v>
      </c>
      <c r="W240" s="46">
        <f t="shared" si="1157"/>
        <v>0.17826488525714068</v>
      </c>
      <c r="X240" s="46">
        <f t="shared" si="1157"/>
        <v>-0.13990026455194415</v>
      </c>
      <c r="Y240" s="46">
        <f t="shared" si="1157"/>
        <v>0.10496304175913074</v>
      </c>
      <c r="Z240" s="46">
        <f t="shared" si="1157"/>
        <v>0.12425259795884624</v>
      </c>
      <c r="AA240" s="46">
        <f t="shared" si="1157"/>
        <v>0.11752873384531193</v>
      </c>
      <c r="AB240" s="46">
        <f t="shared" si="1157"/>
        <v>-9.8913023092442098E-2</v>
      </c>
      <c r="AC240" s="46">
        <f t="shared" si="1157"/>
        <v>0.14332864126376577</v>
      </c>
      <c r="AD240" s="46">
        <f t="shared" si="1157"/>
        <v>5.0348459768526865E-2</v>
      </c>
      <c r="AE240" s="46">
        <f t="shared" si="1157"/>
        <v>0.15090722469840823</v>
      </c>
      <c r="AF240" s="46">
        <f t="shared" si="1157"/>
        <v>-0.11987290832827824</v>
      </c>
      <c r="AG240" s="46">
        <f t="shared" si="1157"/>
        <v>0.10625350310302073</v>
      </c>
      <c r="AH240" s="46">
        <f t="shared" ref="AH240:AJ241" si="1158">IFERROR(AH225/AG225-1,"n/a")</f>
        <v>6.6343079433197172E-2</v>
      </c>
      <c r="AI240" s="46">
        <f t="shared" si="1158"/>
        <v>0.1368444224826979</v>
      </c>
      <c r="AJ240" s="46">
        <f t="shared" si="1158"/>
        <v>-0.14427143689915445</v>
      </c>
      <c r="AK240" s="46">
        <f t="shared" si="1150"/>
        <v>0.10627295992191232</v>
      </c>
      <c r="AL240" s="46">
        <f t="shared" si="1151"/>
        <v>6.6384505332187205E-2</v>
      </c>
      <c r="AM240" s="46">
        <f t="shared" si="1152"/>
        <v>0.13713775667548478</v>
      </c>
    </row>
    <row r="241" spans="2:53" ht="13.5" x14ac:dyDescent="0.35">
      <c r="B241" s="20" t="s">
        <v>372</v>
      </c>
      <c r="E241" s="47" t="str">
        <f t="shared" si="1146"/>
        <v>n/a</v>
      </c>
      <c r="F241" s="47" t="str">
        <f t="shared" si="1146"/>
        <v>n/a</v>
      </c>
      <c r="G241" s="47" t="str">
        <f t="shared" si="1146"/>
        <v>n/a</v>
      </c>
      <c r="H241" s="47" t="str">
        <f t="shared" ref="H241:S241" si="1159">IFERROR(H226/G226-1,"n/a")</f>
        <v>n/a</v>
      </c>
      <c r="I241" s="47" t="str">
        <f t="shared" si="1159"/>
        <v>n/a</v>
      </c>
      <c r="J241" s="47" t="str">
        <f t="shared" si="1159"/>
        <v>n/a</v>
      </c>
      <c r="K241" s="47" t="str">
        <f t="shared" si="1159"/>
        <v>n/a</v>
      </c>
      <c r="L241" s="47" t="str">
        <f t="shared" si="1159"/>
        <v>n/a</v>
      </c>
      <c r="M241" s="47" t="str">
        <f t="shared" si="1159"/>
        <v>n/a</v>
      </c>
      <c r="N241" s="47" t="str">
        <f t="shared" si="1159"/>
        <v>n/a</v>
      </c>
      <c r="O241" s="47" t="str">
        <f t="shared" si="1159"/>
        <v>n/a</v>
      </c>
      <c r="P241" s="47" t="str">
        <f t="shared" si="1159"/>
        <v>n/a</v>
      </c>
      <c r="Q241" s="47" t="str">
        <f t="shared" si="1159"/>
        <v>n/a</v>
      </c>
      <c r="R241" s="47" t="str">
        <f t="shared" si="1159"/>
        <v>n/a</v>
      </c>
      <c r="S241" s="47" t="str">
        <f t="shared" si="1159"/>
        <v>n/a</v>
      </c>
      <c r="T241" s="47" t="str">
        <f t="shared" ref="T241:AG241" si="1160">IFERROR(T226/S226-1,"n/a")</f>
        <v>n/a</v>
      </c>
      <c r="U241" s="47" t="str">
        <f t="shared" si="1160"/>
        <v>n/a</v>
      </c>
      <c r="V241" s="47" t="str">
        <f t="shared" si="1160"/>
        <v>n/a</v>
      </c>
      <c r="W241" s="47" t="str">
        <f t="shared" si="1160"/>
        <v>n/a</v>
      </c>
      <c r="X241" s="47" t="str">
        <f t="shared" si="1160"/>
        <v>n/a</v>
      </c>
      <c r="Y241" s="47" t="str">
        <f t="shared" si="1160"/>
        <v>n/a</v>
      </c>
      <c r="Z241" s="47" t="str">
        <f t="shared" si="1160"/>
        <v>n/a</v>
      </c>
      <c r="AA241" s="47">
        <f t="shared" si="1160"/>
        <v>78.415199048275639</v>
      </c>
      <c r="AB241" s="47">
        <f t="shared" si="1160"/>
        <v>1.6622753058813551</v>
      </c>
      <c r="AC241" s="47">
        <f t="shared" si="1160"/>
        <v>2.5135492261576822</v>
      </c>
      <c r="AD241" s="47">
        <f t="shared" si="1160"/>
        <v>1.1182772795935398</v>
      </c>
      <c r="AE241" s="47">
        <f t="shared" si="1160"/>
        <v>0.36938364508657062</v>
      </c>
      <c r="AF241" s="47">
        <f t="shared" si="1160"/>
        <v>0.10642986899635076</v>
      </c>
      <c r="AG241" s="47">
        <f t="shared" si="1160"/>
        <v>0.21033180518815198</v>
      </c>
      <c r="AH241" s="169">
        <v>0.08</v>
      </c>
      <c r="AI241" s="169">
        <v>0.1</v>
      </c>
      <c r="AJ241" s="47">
        <f t="shared" si="1158"/>
        <v>-9.5887516476538703E-2</v>
      </c>
      <c r="AK241" s="47">
        <f t="shared" si="1150"/>
        <v>0.21033180518815198</v>
      </c>
      <c r="AL241" s="47">
        <f t="shared" si="1151"/>
        <v>8.0000000000000071E-2</v>
      </c>
      <c r="AM241" s="47">
        <f t="shared" si="1152"/>
        <v>0.10000000000000031</v>
      </c>
    </row>
    <row r="242" spans="2:53" x14ac:dyDescent="0.2">
      <c r="B242" s="30" t="s">
        <v>394</v>
      </c>
      <c r="E242" s="46">
        <f t="shared" si="1146"/>
        <v>1.1937744084539399</v>
      </c>
      <c r="F242" s="46">
        <f t="shared" si="1146"/>
        <v>0.86365778313000674</v>
      </c>
      <c r="G242" s="46">
        <f t="shared" si="1146"/>
        <v>1.1871663763555653</v>
      </c>
      <c r="H242" s="46">
        <f t="shared" ref="H242:S242" si="1161">IFERROR(H227/G227-1,"n/a")</f>
        <v>-0.14964675658317272</v>
      </c>
      <c r="I242" s="46">
        <f t="shared" si="1161"/>
        <v>0.24555891238670724</v>
      </c>
      <c r="J242" s="46">
        <f t="shared" si="1161"/>
        <v>0.43463180362860143</v>
      </c>
      <c r="K242" s="46">
        <f t="shared" si="1161"/>
        <v>0.73001166584949417</v>
      </c>
      <c r="L242" s="46">
        <f t="shared" si="1161"/>
        <v>-0.25726850720742767</v>
      </c>
      <c r="M242" s="46">
        <f t="shared" si="1161"/>
        <v>0.54050000000000109</v>
      </c>
      <c r="N242" s="46">
        <f t="shared" si="1161"/>
        <v>6.5076273937033191E-2</v>
      </c>
      <c r="O242" s="46">
        <f t="shared" si="1161"/>
        <v>0.48780644281738961</v>
      </c>
      <c r="P242" s="46">
        <f t="shared" si="1161"/>
        <v>-0.18447648564883479</v>
      </c>
      <c r="Q242" s="46">
        <f t="shared" si="1161"/>
        <v>0.14228684732319952</v>
      </c>
      <c r="R242" s="46">
        <f t="shared" si="1161"/>
        <v>0.26800634156502356</v>
      </c>
      <c r="S242" s="46">
        <f t="shared" si="1161"/>
        <v>0.32570831451035231</v>
      </c>
      <c r="T242" s="46">
        <f t="shared" ref="T242:AJ242" si="1162">IFERROR(T227/S227-1,"n/a")</f>
        <v>-0.12161139306316004</v>
      </c>
      <c r="U242" s="46">
        <f t="shared" si="1162"/>
        <v>0.14764852223059743</v>
      </c>
      <c r="V242" s="46">
        <f t="shared" si="1162"/>
        <v>5.4613404786917785E-2</v>
      </c>
      <c r="W242" s="46">
        <f t="shared" si="1162"/>
        <v>0.17826488525714068</v>
      </c>
      <c r="X242" s="46">
        <f t="shared" si="1162"/>
        <v>-0.13990026455194415</v>
      </c>
      <c r="Y242" s="46">
        <f t="shared" si="1162"/>
        <v>0.10496304175913074</v>
      </c>
      <c r="Z242" s="46">
        <f t="shared" si="1162"/>
        <v>0.12429221420410697</v>
      </c>
      <c r="AA242" s="46">
        <f t="shared" si="1162"/>
        <v>0.12028767824725062</v>
      </c>
      <c r="AB242" s="46">
        <f t="shared" si="1162"/>
        <v>-9.4513820356088796E-2</v>
      </c>
      <c r="AC242" s="46">
        <f t="shared" si="1162"/>
        <v>0.16073580768076923</v>
      </c>
      <c r="AD242" s="46">
        <f t="shared" si="1162"/>
        <v>7.4089201465956434E-2</v>
      </c>
      <c r="AE242" s="46">
        <f t="shared" si="1162"/>
        <v>0.16048575781837826</v>
      </c>
      <c r="AF242" s="46">
        <f t="shared" si="1162"/>
        <v>-0.10816526079014388</v>
      </c>
      <c r="AG242" s="46">
        <f t="shared" si="1162"/>
        <v>0.11293354921347598</v>
      </c>
      <c r="AH242" s="46">
        <f t="shared" si="1162"/>
        <v>6.7296330404823745E-2</v>
      </c>
      <c r="AI242" s="46">
        <f t="shared" si="1162"/>
        <v>0.13424207691720036</v>
      </c>
      <c r="AJ242" s="46">
        <f t="shared" si="1162"/>
        <v>-0.14095721793103522</v>
      </c>
      <c r="AK242" s="46">
        <f t="shared" si="1150"/>
        <v>0.11377478301218669</v>
      </c>
      <c r="AL242" s="46">
        <f t="shared" si="1151"/>
        <v>6.7451170972043784E-2</v>
      </c>
      <c r="AM242" s="46">
        <f t="shared" si="1152"/>
        <v>0.13419410590324099</v>
      </c>
    </row>
    <row r="243" spans="2:53" x14ac:dyDescent="0.2">
      <c r="B243" s="30"/>
      <c r="E243" s="46"/>
      <c r="F243" s="46"/>
      <c r="G243" s="46"/>
      <c r="H243" s="46"/>
      <c r="I243" s="46"/>
      <c r="J243" s="46"/>
      <c r="K243" s="46"/>
      <c r="L243" s="46"/>
      <c r="M243" s="46"/>
      <c r="N243" s="46"/>
      <c r="O243" s="46"/>
      <c r="P243" s="46"/>
      <c r="Q243" s="46"/>
      <c r="R243" s="46"/>
      <c r="S243" s="46"/>
      <c r="T243" s="168"/>
      <c r="U243" s="168"/>
      <c r="V243" s="168"/>
      <c r="W243" s="168"/>
    </row>
    <row r="244" spans="2:53" x14ac:dyDescent="0.2">
      <c r="B244" s="24" t="s">
        <v>369</v>
      </c>
    </row>
    <row r="245" spans="2:53" x14ac:dyDescent="0.2">
      <c r="B245" t="s">
        <v>370</v>
      </c>
      <c r="D245" s="14">
        <f>+IFERROR(D223*D267,"n/a")</f>
        <v>5.2235999999999994</v>
      </c>
      <c r="E245" s="14">
        <f t="shared" ref="E245:K245" si="1163">+IFERROR(E223*E267,"n/a")</f>
        <v>11.4594</v>
      </c>
      <c r="F245" s="14">
        <f t="shared" si="1163"/>
        <v>21.356400000000001</v>
      </c>
      <c r="G245" s="14">
        <f t="shared" si="1163"/>
        <v>46.709999999999994</v>
      </c>
      <c r="H245" s="14">
        <f t="shared" si="1163"/>
        <v>39.72</v>
      </c>
      <c r="I245" s="14">
        <f t="shared" si="1163"/>
        <v>49.473600000000012</v>
      </c>
      <c r="J245" s="14">
        <f t="shared" si="1163"/>
        <v>70.976399999999984</v>
      </c>
      <c r="K245" s="14">
        <f t="shared" si="1163"/>
        <v>122.79000000000002</v>
      </c>
      <c r="L245" s="58">
        <v>91.192800000000005</v>
      </c>
      <c r="M245" s="58">
        <v>140.5008</v>
      </c>
      <c r="N245" s="58">
        <v>149.63639999999998</v>
      </c>
      <c r="O245" s="58">
        <v>222.63</v>
      </c>
      <c r="P245" s="58">
        <v>142.64862857142853</v>
      </c>
      <c r="Q245" s="58">
        <v>246.30497142857143</v>
      </c>
      <c r="R245" s="58">
        <v>262.97639999999996</v>
      </c>
      <c r="S245" s="58">
        <v>348.63</v>
      </c>
      <c r="T245" s="58">
        <v>299.56211999999994</v>
      </c>
      <c r="U245" s="58">
        <v>342.21131999999994</v>
      </c>
      <c r="V245" s="58">
        <v>356.95905784064144</v>
      </c>
      <c r="W245" s="58">
        <v>420.97293439930019</v>
      </c>
      <c r="X245" s="58">
        <v>356.77554554648219</v>
      </c>
      <c r="Y245" s="58">
        <v>392.53460121673413</v>
      </c>
      <c r="Z245" s="58">
        <v>442.62923172239533</v>
      </c>
      <c r="AA245" s="58">
        <v>497</v>
      </c>
      <c r="AB245" s="58">
        <v>445.96943193310278</v>
      </c>
      <c r="AC245" s="58">
        <v>510.29498158175443</v>
      </c>
      <c r="AD245" s="58">
        <v>535.58137038409836</v>
      </c>
      <c r="AE245" s="58">
        <v>620.93507823896778</v>
      </c>
      <c r="AF245" s="14">
        <f t="shared" ref="AF245:AG245" si="1164">+IFERROR(AF223*AF267,"n/a")</f>
        <v>544.08242399999995</v>
      </c>
      <c r="AG245" s="14">
        <f t="shared" si="1164"/>
        <v>602.14833599999986</v>
      </c>
      <c r="AH245" s="14">
        <f t="shared" ref="AH245:AI245" si="1165">+IFERROR(AH223*AH267,"n/a")</f>
        <v>637.34210399999995</v>
      </c>
      <c r="AI245" s="14">
        <f t="shared" si="1165"/>
        <v>729.06071615999997</v>
      </c>
      <c r="AJ245" s="14">
        <f t="shared" ref="AJ245:AM245" si="1166">+IFERROR(AJ223*AJ267,"n/a")</f>
        <v>620.48066436999989</v>
      </c>
      <c r="AK245" s="14">
        <f t="shared" si="1166"/>
        <v>686.69999817999974</v>
      </c>
      <c r="AL245" s="14">
        <f t="shared" si="1166"/>
        <v>732.94341959999986</v>
      </c>
      <c r="AM245" s="14">
        <f t="shared" si="1166"/>
        <v>838.41982358399991</v>
      </c>
      <c r="AO245" s="17" t="str">
        <f>+IFERROR(AO223*AO267,"n/a")</f>
        <v>n/a</v>
      </c>
      <c r="AP245" s="14">
        <f t="shared" ref="AP245:AP250" si="1167">+SUM(D245:G245)</f>
        <v>84.749399999999994</v>
      </c>
      <c r="AQ245" s="14">
        <f t="shared" ref="AQ245:AQ250" si="1168">+SUM(H245:K245)</f>
        <v>282.96000000000004</v>
      </c>
      <c r="AR245" s="14">
        <f t="shared" ref="AR245:AR250" si="1169">+SUM(L245:O245)</f>
        <v>603.96</v>
      </c>
      <c r="AS245" s="14">
        <f t="shared" ref="AS245:AS250" si="1170">+SUM(P245:S245)</f>
        <v>1000.5599999999998</v>
      </c>
      <c r="AT245" s="14">
        <f t="shared" ref="AT245:AT250" si="1171">+SUM(T245:W245)</f>
        <v>1419.7054322399415</v>
      </c>
      <c r="AU245" s="14">
        <f t="shared" ref="AU245:AU250" si="1172">+SUM(X245:AA245)</f>
        <v>1688.9393784856118</v>
      </c>
      <c r="AV245" s="14">
        <f t="shared" ref="AV245:AV250" si="1173">+SUM(AB245:AE245)</f>
        <v>2112.7808621379236</v>
      </c>
      <c r="AW245" s="14">
        <f t="shared" ref="AW245:AW250" si="1174">+SUM(AF245:AI245)</f>
        <v>2512.6335801599998</v>
      </c>
      <c r="AX245" s="14">
        <f>+SUM(AJ245:AM245)</f>
        <v>2878.5439057339995</v>
      </c>
      <c r="AY245" s="33"/>
      <c r="AZ245">
        <f>+AV245/7.25</f>
        <v>291.41804995005845</v>
      </c>
      <c r="BA245">
        <f>+AW245/7.25</f>
        <v>346.57014898758621</v>
      </c>
    </row>
    <row r="246" spans="2:53" ht="13.5" x14ac:dyDescent="0.35">
      <c r="B246" t="s">
        <v>371</v>
      </c>
      <c r="D246" s="13">
        <v>0</v>
      </c>
      <c r="E246" s="13">
        <v>0</v>
      </c>
      <c r="F246" s="13">
        <v>0</v>
      </c>
      <c r="G246" s="13">
        <v>0</v>
      </c>
      <c r="H246" s="13">
        <v>0</v>
      </c>
      <c r="I246" s="13">
        <v>0</v>
      </c>
      <c r="J246" s="13">
        <v>0</v>
      </c>
      <c r="K246" s="13">
        <v>0</v>
      </c>
      <c r="L246" s="13">
        <v>0</v>
      </c>
      <c r="M246" s="13">
        <v>0</v>
      </c>
      <c r="N246" s="13">
        <v>0</v>
      </c>
      <c r="O246" s="13">
        <v>0</v>
      </c>
      <c r="P246" s="13">
        <v>0</v>
      </c>
      <c r="Q246" s="13">
        <v>0</v>
      </c>
      <c r="R246" s="13">
        <v>0</v>
      </c>
      <c r="S246" s="54">
        <v>4.0724999999999998</v>
      </c>
      <c r="T246" s="54">
        <v>11.181513411553382</v>
      </c>
      <c r="U246" s="54">
        <v>15.062617014387692</v>
      </c>
      <c r="V246" s="54">
        <v>21.445991941922717</v>
      </c>
      <c r="W246" s="54">
        <v>24.927533955711755</v>
      </c>
      <c r="X246" s="54">
        <v>26.692165183012644</v>
      </c>
      <c r="Y246" s="54">
        <v>31.887246650463922</v>
      </c>
      <c r="Z246" s="54">
        <v>33.977646788512594</v>
      </c>
      <c r="AA246" s="54">
        <v>35</v>
      </c>
      <c r="AB246" s="54">
        <v>33.866723157361427</v>
      </c>
      <c r="AC246" s="54">
        <v>38.145853837004424</v>
      </c>
      <c r="AD246" s="54">
        <v>40.641856732888776</v>
      </c>
      <c r="AE246" s="54">
        <v>40.356844751044378</v>
      </c>
      <c r="AF246" s="15">
        <f t="shared" ref="AF246:AG246" si="1175">+IFERROR(AF224*AF268,"n/a")</f>
        <v>38.946731630965644</v>
      </c>
      <c r="AG246" s="15">
        <f t="shared" si="1175"/>
        <v>42.723356297444958</v>
      </c>
      <c r="AH246" s="15">
        <f t="shared" ref="AH246:AI246" si="1176">+IFERROR(AH224*AH268,"n/a")</f>
        <v>44.706042406177659</v>
      </c>
      <c r="AI246" s="15">
        <f t="shared" si="1176"/>
        <v>44.392529226148817</v>
      </c>
      <c r="AJ246" s="15">
        <f t="shared" ref="AJ246:AM246" si="1177">+IFERROR(AJ224*AJ268,"n/a")</f>
        <v>42.841404794062207</v>
      </c>
      <c r="AK246" s="15">
        <f t="shared" si="1177"/>
        <v>46.995691927189462</v>
      </c>
      <c r="AL246" s="15">
        <f t="shared" si="1177"/>
        <v>49.176646646795426</v>
      </c>
      <c r="AM246" s="15">
        <f t="shared" si="1177"/>
        <v>48.8317821487637</v>
      </c>
      <c r="AO246" s="13">
        <v>0</v>
      </c>
      <c r="AP246" s="36">
        <f t="shared" si="1167"/>
        <v>0</v>
      </c>
      <c r="AQ246" s="36">
        <f t="shared" si="1168"/>
        <v>0</v>
      </c>
      <c r="AR246" s="36">
        <f t="shared" si="1169"/>
        <v>0</v>
      </c>
      <c r="AS246" s="36">
        <f t="shared" si="1170"/>
        <v>4.0724999999999998</v>
      </c>
      <c r="AT246" s="36">
        <f t="shared" si="1171"/>
        <v>72.617656323575545</v>
      </c>
      <c r="AU246" s="36">
        <f t="shared" si="1172"/>
        <v>127.55705862198917</v>
      </c>
      <c r="AV246" s="36">
        <f t="shared" si="1173"/>
        <v>153.011278478299</v>
      </c>
      <c r="AW246" s="36">
        <f t="shared" si="1174"/>
        <v>170.76865956073706</v>
      </c>
      <c r="AX246" s="36">
        <f t="shared" ref="AX246:AX250" si="1178">+SUM(AJ246:AM246)</f>
        <v>187.8455255168108</v>
      </c>
    </row>
    <row r="247" spans="2:53" x14ac:dyDescent="0.2">
      <c r="B247" s="4" t="s">
        <v>358</v>
      </c>
      <c r="D247" s="14">
        <f>+IFERROR(D245+D246,"n/a")</f>
        <v>5.2235999999999994</v>
      </c>
      <c r="E247" s="14">
        <f t="shared" ref="E247:T247" si="1179">+IFERROR(E245+E246,"n/a")</f>
        <v>11.4594</v>
      </c>
      <c r="F247" s="14">
        <f t="shared" si="1179"/>
        <v>21.356400000000001</v>
      </c>
      <c r="G247" s="14">
        <f t="shared" si="1179"/>
        <v>46.709999999999994</v>
      </c>
      <c r="H247" s="14">
        <f t="shared" si="1179"/>
        <v>39.72</v>
      </c>
      <c r="I247" s="14">
        <f t="shared" si="1179"/>
        <v>49.473600000000012</v>
      </c>
      <c r="J247" s="14">
        <f t="shared" si="1179"/>
        <v>70.976399999999984</v>
      </c>
      <c r="K247" s="14">
        <f t="shared" si="1179"/>
        <v>122.79000000000002</v>
      </c>
      <c r="L247" s="14">
        <f t="shared" si="1179"/>
        <v>91.192800000000005</v>
      </c>
      <c r="M247" s="14">
        <f t="shared" si="1179"/>
        <v>140.5008</v>
      </c>
      <c r="N247" s="14">
        <f t="shared" si="1179"/>
        <v>149.63639999999998</v>
      </c>
      <c r="O247" s="14">
        <f t="shared" si="1179"/>
        <v>222.63</v>
      </c>
      <c r="P247" s="14">
        <f t="shared" si="1179"/>
        <v>142.64862857142853</v>
      </c>
      <c r="Q247" s="14">
        <f t="shared" si="1179"/>
        <v>246.30497142857143</v>
      </c>
      <c r="R247" s="14">
        <f t="shared" si="1179"/>
        <v>262.97639999999996</v>
      </c>
      <c r="S247" s="14">
        <f t="shared" si="1179"/>
        <v>352.70249999999999</v>
      </c>
      <c r="T247" s="14">
        <f t="shared" si="1179"/>
        <v>310.74363341155333</v>
      </c>
      <c r="U247" s="14">
        <f t="shared" ref="U247" si="1180">+IFERROR(U245+U246,"n/a")</f>
        <v>357.27393701438763</v>
      </c>
      <c r="V247" s="14">
        <f t="shared" ref="V247" si="1181">+IFERROR(V245+V246,"n/a")</f>
        <v>378.40504978256416</v>
      </c>
      <c r="W247" s="14">
        <f t="shared" ref="W247" si="1182">+IFERROR(W245+W246,"n/a")</f>
        <v>445.90046835501192</v>
      </c>
      <c r="X247" s="14">
        <f t="shared" ref="X247" si="1183">+IFERROR(X245+X246,"n/a")</f>
        <v>383.46771072949485</v>
      </c>
      <c r="Y247" s="14">
        <f t="shared" ref="Y247" si="1184">+IFERROR(Y245+Y246,"n/a")</f>
        <v>424.42184786719804</v>
      </c>
      <c r="Z247" s="14">
        <f t="shared" ref="Z247" si="1185">+IFERROR(Z245+Z246,"n/a")</f>
        <v>476.6068785109079</v>
      </c>
      <c r="AA247" s="14">
        <f t="shared" ref="AA247" si="1186">+IFERROR(AA245+AA246,"n/a")</f>
        <v>532</v>
      </c>
      <c r="AB247" s="14">
        <f t="shared" ref="AB247" si="1187">+IFERROR(AB245+AB246,"n/a")</f>
        <v>479.83615509046422</v>
      </c>
      <c r="AC247" s="14">
        <f t="shared" ref="AC247" si="1188">+IFERROR(AC245+AC246,"n/a")</f>
        <v>548.44083541875887</v>
      </c>
      <c r="AD247" s="14">
        <f t="shared" ref="AD247" si="1189">+IFERROR(AD245+AD246,"n/a")</f>
        <v>576.22322711698712</v>
      </c>
      <c r="AE247" s="14">
        <f t="shared" ref="AE247:AF247" si="1190">+IFERROR(AE245+AE246,"n/a")</f>
        <v>661.29192299001215</v>
      </c>
      <c r="AF247" s="14">
        <f t="shared" si="1190"/>
        <v>583.02915563096553</v>
      </c>
      <c r="AG247" s="14">
        <f t="shared" ref="AG247" si="1191">+IFERROR(AG245+AG246,"n/a")</f>
        <v>644.87169229744484</v>
      </c>
      <c r="AH247" s="14">
        <f t="shared" ref="AH247" si="1192">+IFERROR(AH245+AH246,"n/a")</f>
        <v>682.04814640617758</v>
      </c>
      <c r="AI247" s="14">
        <f t="shared" ref="AI247:AM247" si="1193">+IFERROR(AI245+AI246,"n/a")</f>
        <v>773.45324538614875</v>
      </c>
      <c r="AJ247" s="14">
        <f t="shared" si="1193"/>
        <v>663.3220691640621</v>
      </c>
      <c r="AK247" s="14">
        <f t="shared" si="1193"/>
        <v>733.69569010718919</v>
      </c>
      <c r="AL247" s="14">
        <f t="shared" si="1193"/>
        <v>782.12006624679532</v>
      </c>
      <c r="AM247" s="14">
        <f t="shared" si="1193"/>
        <v>887.25160573276366</v>
      </c>
      <c r="AO247" s="17" t="str">
        <f>+IFERROR(AO245+AO246,"n/a")</f>
        <v>n/a</v>
      </c>
      <c r="AP247" s="10">
        <f t="shared" si="1167"/>
        <v>84.749399999999994</v>
      </c>
      <c r="AQ247" s="10">
        <f t="shared" si="1168"/>
        <v>282.96000000000004</v>
      </c>
      <c r="AR247" s="10">
        <f t="shared" si="1169"/>
        <v>603.96</v>
      </c>
      <c r="AS247" s="10">
        <f t="shared" si="1170"/>
        <v>1004.6324999999998</v>
      </c>
      <c r="AT247" s="10">
        <f t="shared" si="1171"/>
        <v>1492.3230885635171</v>
      </c>
      <c r="AU247" s="10">
        <f t="shared" si="1172"/>
        <v>1816.4964371076007</v>
      </c>
      <c r="AV247" s="10">
        <f t="shared" si="1173"/>
        <v>2265.7921406162222</v>
      </c>
      <c r="AW247" s="10">
        <f t="shared" si="1174"/>
        <v>2683.4022397207368</v>
      </c>
      <c r="AX247" s="10">
        <f t="shared" si="1178"/>
        <v>3066.38943125081</v>
      </c>
      <c r="AZ247">
        <f>+AV247/7.25</f>
        <v>312.52305387809963</v>
      </c>
      <c r="BA247">
        <f>+AW247/7.25</f>
        <v>370.12444685803268</v>
      </c>
    </row>
    <row r="248" spans="2:53" ht="13.5" x14ac:dyDescent="0.35">
      <c r="B248" t="s">
        <v>372</v>
      </c>
      <c r="D248" s="36">
        <f t="shared" ref="D248:Y248" si="1194">+IFERROR(D250/D549,"n/a")</f>
        <v>0</v>
      </c>
      <c r="E248" s="36">
        <f t="shared" si="1194"/>
        <v>0</v>
      </c>
      <c r="F248" s="36">
        <f t="shared" si="1194"/>
        <v>0</v>
      </c>
      <c r="G248" s="36">
        <f t="shared" si="1194"/>
        <v>0</v>
      </c>
      <c r="H248" s="36">
        <f t="shared" si="1194"/>
        <v>0</v>
      </c>
      <c r="I248" s="36">
        <f t="shared" si="1194"/>
        <v>0</v>
      </c>
      <c r="J248" s="36">
        <f t="shared" si="1194"/>
        <v>0</v>
      </c>
      <c r="K248" s="36">
        <f t="shared" si="1194"/>
        <v>0</v>
      </c>
      <c r="L248" s="36">
        <f t="shared" si="1194"/>
        <v>0</v>
      </c>
      <c r="M248" s="36">
        <f t="shared" si="1194"/>
        <v>0</v>
      </c>
      <c r="N248" s="36">
        <f t="shared" si="1194"/>
        <v>0</v>
      </c>
      <c r="O248" s="36">
        <f t="shared" si="1194"/>
        <v>0</v>
      </c>
      <c r="P248" s="36">
        <f t="shared" si="1194"/>
        <v>0</v>
      </c>
      <c r="Q248" s="36">
        <f t="shared" si="1194"/>
        <v>0</v>
      </c>
      <c r="R248" s="36">
        <f t="shared" si="1194"/>
        <v>0</v>
      </c>
      <c r="S248" s="36">
        <f t="shared" si="1194"/>
        <v>0</v>
      </c>
      <c r="T248" s="36">
        <f t="shared" si="1194"/>
        <v>0</v>
      </c>
      <c r="U248" s="36">
        <f t="shared" si="1194"/>
        <v>0</v>
      </c>
      <c r="V248" s="36">
        <f t="shared" si="1194"/>
        <v>0</v>
      </c>
      <c r="W248" s="36">
        <f t="shared" si="1194"/>
        <v>0</v>
      </c>
      <c r="X248" s="36">
        <f t="shared" si="1194"/>
        <v>0</v>
      </c>
      <c r="Y248" s="36">
        <f t="shared" si="1194"/>
        <v>0</v>
      </c>
      <c r="Z248" s="36">
        <f>+IFERROR(Z250/Z549,"n/a")</f>
        <v>2.2784804633205064E-2</v>
      </c>
      <c r="AA248" s="36">
        <f t="shared" ref="AA248:AG248" si="1195">+IFERROR(AA250/AA549,"n/a")</f>
        <v>1.7565470458219887</v>
      </c>
      <c r="AB248" s="36">
        <f t="shared" si="1195"/>
        <v>4.9398421931012768</v>
      </c>
      <c r="AC248" s="36">
        <f t="shared" si="1195"/>
        <v>17.19662018252307</v>
      </c>
      <c r="AD248" s="36">
        <f t="shared" si="1195"/>
        <v>35.681548173179472</v>
      </c>
      <c r="AE248" s="36">
        <f t="shared" si="1195"/>
        <v>50.19317952109477</v>
      </c>
      <c r="AF248" s="36">
        <f t="shared" si="1195"/>
        <v>55.535233042035216</v>
      </c>
      <c r="AG248" s="36">
        <f t="shared" si="1195"/>
        <v>67.21605885931119</v>
      </c>
      <c r="AH248" s="36">
        <f t="shared" ref="AH248:AI248" si="1196">+IFERROR(AH226*AH270,"n/a")</f>
        <v>72.593343568056085</v>
      </c>
      <c r="AI248" s="36">
        <f t="shared" si="1196"/>
        <v>79.852677924861709</v>
      </c>
      <c r="AJ248" s="36">
        <f t="shared" ref="AJ248:AM248" si="1197">+IFERROR(AJ226*AJ270,"n/a")</f>
        <v>72.195802954645785</v>
      </c>
      <c r="AK248" s="36">
        <f t="shared" si="1197"/>
        <v>87.380876517104539</v>
      </c>
      <c r="AL248" s="36">
        <f t="shared" si="1197"/>
        <v>94.371346638472914</v>
      </c>
      <c r="AM248" s="36">
        <f t="shared" si="1197"/>
        <v>103.80848130232022</v>
      </c>
      <c r="AO248" s="36">
        <f t="shared" ref="AO248" si="1198">+IFERROR(AO250/AO549,"n/a")</f>
        <v>0</v>
      </c>
      <c r="AP248" s="36">
        <f t="shared" si="1167"/>
        <v>0</v>
      </c>
      <c r="AQ248" s="36">
        <f t="shared" si="1168"/>
        <v>0</v>
      </c>
      <c r="AR248" s="36">
        <f t="shared" si="1169"/>
        <v>0</v>
      </c>
      <c r="AS248" s="36">
        <f t="shared" si="1170"/>
        <v>0</v>
      </c>
      <c r="AT248" s="36">
        <f t="shared" si="1171"/>
        <v>0</v>
      </c>
      <c r="AU248" s="36">
        <f t="shared" si="1172"/>
        <v>1.7793318504551938</v>
      </c>
      <c r="AV248" s="36">
        <f t="shared" si="1173"/>
        <v>108.01119006989859</v>
      </c>
      <c r="AW248" s="36">
        <f t="shared" si="1174"/>
        <v>275.1973133942642</v>
      </c>
      <c r="AX248" s="36">
        <f t="shared" si="1178"/>
        <v>357.75650741254344</v>
      </c>
    </row>
    <row r="249" spans="2:53" x14ac:dyDescent="0.2">
      <c r="B249" s="38" t="s">
        <v>395</v>
      </c>
      <c r="D249" s="49">
        <f>+IFERROR(D247+D248,"n/a")</f>
        <v>5.2235999999999994</v>
      </c>
      <c r="E249" s="49">
        <f t="shared" ref="E249:S249" si="1199">+IFERROR(E247+E248,"n/a")</f>
        <v>11.4594</v>
      </c>
      <c r="F249" s="49">
        <f t="shared" si="1199"/>
        <v>21.356400000000001</v>
      </c>
      <c r="G249" s="49">
        <f t="shared" si="1199"/>
        <v>46.709999999999994</v>
      </c>
      <c r="H249" s="49">
        <f t="shared" si="1199"/>
        <v>39.72</v>
      </c>
      <c r="I249" s="49">
        <f t="shared" si="1199"/>
        <v>49.473600000000012</v>
      </c>
      <c r="J249" s="49">
        <f t="shared" si="1199"/>
        <v>70.976399999999984</v>
      </c>
      <c r="K249" s="49">
        <f t="shared" si="1199"/>
        <v>122.79000000000002</v>
      </c>
      <c r="L249" s="49">
        <f t="shared" si="1199"/>
        <v>91.192800000000005</v>
      </c>
      <c r="M249" s="49">
        <f t="shared" si="1199"/>
        <v>140.5008</v>
      </c>
      <c r="N249" s="49">
        <f t="shared" si="1199"/>
        <v>149.63639999999998</v>
      </c>
      <c r="O249" s="49">
        <f t="shared" si="1199"/>
        <v>222.63</v>
      </c>
      <c r="P249" s="49">
        <f t="shared" si="1199"/>
        <v>142.64862857142853</v>
      </c>
      <c r="Q249" s="49">
        <f t="shared" si="1199"/>
        <v>246.30497142857143</v>
      </c>
      <c r="R249" s="49">
        <f t="shared" si="1199"/>
        <v>262.97639999999996</v>
      </c>
      <c r="S249" s="49">
        <f t="shared" si="1199"/>
        <v>352.70249999999999</v>
      </c>
      <c r="T249" s="49">
        <f t="shared" ref="T249" si="1200">+IFERROR(T247+T248,"n/a")</f>
        <v>310.74363341155333</v>
      </c>
      <c r="U249" s="49">
        <f t="shared" ref="U249" si="1201">+IFERROR(U247+U248,"n/a")</f>
        <v>357.27393701438763</v>
      </c>
      <c r="V249" s="49">
        <f t="shared" ref="V249" si="1202">+IFERROR(V247+V248,"n/a")</f>
        <v>378.40504978256416</v>
      </c>
      <c r="W249" s="49">
        <f t="shared" ref="W249" si="1203">+IFERROR(W247+W248,"n/a")</f>
        <v>445.90046835501192</v>
      </c>
      <c r="X249" s="49">
        <f t="shared" ref="X249" si="1204">+IFERROR(X247+X248,"n/a")</f>
        <v>383.46771072949485</v>
      </c>
      <c r="Y249" s="49">
        <f t="shared" ref="Y249" si="1205">+IFERROR(Y247+Y248,"n/a")</f>
        <v>424.42184786719804</v>
      </c>
      <c r="Z249" s="49">
        <f t="shared" ref="Z249" si="1206">+IFERROR(Z247+Z248,"n/a")</f>
        <v>476.62966331554111</v>
      </c>
      <c r="AA249" s="49">
        <f t="shared" ref="AA249" si="1207">+IFERROR(AA247+AA248,"n/a")</f>
        <v>533.756547045822</v>
      </c>
      <c r="AB249" s="49">
        <f t="shared" ref="AB249" si="1208">+IFERROR(AB247+AB248,"n/a")</f>
        <v>484.77599728356552</v>
      </c>
      <c r="AC249" s="49">
        <f t="shared" ref="AC249" si="1209">+IFERROR(AC247+AC248,"n/a")</f>
        <v>565.63745560128189</v>
      </c>
      <c r="AD249" s="49">
        <f t="shared" ref="AD249" si="1210">+IFERROR(AD247+AD248,"n/a")</f>
        <v>611.90477529016664</v>
      </c>
      <c r="AE249" s="49">
        <f t="shared" ref="AE249" si="1211">+IFERROR(AE247+AE248,"n/a")</f>
        <v>711.4851025111069</v>
      </c>
      <c r="AF249" s="49">
        <f t="shared" ref="AF249:AG249" si="1212">+IFERROR(AF247+AF248,"n/a")</f>
        <v>638.56438867300074</v>
      </c>
      <c r="AG249" s="49">
        <f t="shared" si="1212"/>
        <v>712.08775115675598</v>
      </c>
      <c r="AH249" s="49">
        <f t="shared" ref="AH249" si="1213">+IFERROR(AH247+AH248,"n/a")</f>
        <v>754.64148997423365</v>
      </c>
      <c r="AI249" s="49">
        <f t="shared" ref="AI249:AM249" si="1214">+IFERROR(AI247+AI248,"n/a")</f>
        <v>853.30592331101047</v>
      </c>
      <c r="AJ249" s="49">
        <f t="shared" si="1214"/>
        <v>735.51787211870783</v>
      </c>
      <c r="AK249" s="49">
        <f t="shared" si="1214"/>
        <v>821.07656662429372</v>
      </c>
      <c r="AL249" s="49">
        <f t="shared" si="1214"/>
        <v>876.49141288526823</v>
      </c>
      <c r="AM249" s="49">
        <f t="shared" si="1214"/>
        <v>991.06008703508382</v>
      </c>
      <c r="AO249" s="49" t="str">
        <f>+IFERROR(AO247+AO248,"n/a")</f>
        <v>n/a</v>
      </c>
      <c r="AP249" s="48">
        <f t="shared" si="1167"/>
        <v>84.749399999999994</v>
      </c>
      <c r="AQ249" s="48">
        <f t="shared" si="1168"/>
        <v>282.96000000000004</v>
      </c>
      <c r="AR249" s="48">
        <f t="shared" si="1169"/>
        <v>603.96</v>
      </c>
      <c r="AS249" s="48">
        <f t="shared" si="1170"/>
        <v>1004.6324999999998</v>
      </c>
      <c r="AT249" s="48">
        <f t="shared" si="1171"/>
        <v>1492.3230885635171</v>
      </c>
      <c r="AU249" s="48">
        <f t="shared" si="1172"/>
        <v>1818.2757689580562</v>
      </c>
      <c r="AV249" s="48">
        <f t="shared" si="1173"/>
        <v>2373.8033306861212</v>
      </c>
      <c r="AW249" s="48">
        <f t="shared" si="1174"/>
        <v>2958.5995531150011</v>
      </c>
      <c r="AX249" s="48">
        <f t="shared" si="1178"/>
        <v>3424.1459386633533</v>
      </c>
      <c r="AZ249">
        <f>+AV249/7.25</f>
        <v>327.42114906015462</v>
      </c>
      <c r="BA249">
        <f>+AW249/7.25</f>
        <v>408.08269698137946</v>
      </c>
    </row>
    <row r="250" spans="2:53" x14ac:dyDescent="0.2">
      <c r="B250" s="20" t="s">
        <v>380</v>
      </c>
      <c r="D250" s="174">
        <v>0</v>
      </c>
      <c r="E250" s="174">
        <v>0</v>
      </c>
      <c r="F250" s="174">
        <v>0</v>
      </c>
      <c r="G250" s="174">
        <v>0</v>
      </c>
      <c r="H250" s="174">
        <v>0</v>
      </c>
      <c r="I250" s="174">
        <v>0</v>
      </c>
      <c r="J250" s="174">
        <v>0</v>
      </c>
      <c r="K250" s="174">
        <v>0</v>
      </c>
      <c r="L250" s="174">
        <v>0</v>
      </c>
      <c r="M250" s="174">
        <v>0</v>
      </c>
      <c r="N250" s="174">
        <v>0</v>
      </c>
      <c r="O250" s="174">
        <v>0</v>
      </c>
      <c r="P250" s="174">
        <v>0</v>
      </c>
      <c r="Q250" s="174">
        <v>0</v>
      </c>
      <c r="R250" s="174">
        <v>0</v>
      </c>
      <c r="S250" s="174">
        <v>0</v>
      </c>
      <c r="T250" s="174">
        <v>0</v>
      </c>
      <c r="U250" s="174">
        <v>0</v>
      </c>
      <c r="V250" s="174">
        <v>0</v>
      </c>
      <c r="W250" s="174">
        <v>0</v>
      </c>
      <c r="X250" s="174">
        <v>0</v>
      </c>
      <c r="Y250" s="174">
        <v>0</v>
      </c>
      <c r="Z250" s="146">
        <v>3.3296574250734215E-3</v>
      </c>
      <c r="AA250" s="146">
        <v>0.24719183957034516</v>
      </c>
      <c r="AB250" s="146">
        <v>0.72206661304999986</v>
      </c>
      <c r="AC250" s="146">
        <v>2.4541296662478671</v>
      </c>
      <c r="AD250" s="146">
        <v>4.9263729485300232</v>
      </c>
      <c r="AE250" s="146">
        <v>6.9509020796197669</v>
      </c>
      <c r="AF250" s="146">
        <f>+AF228*0.85</f>
        <v>7.7354470751920426</v>
      </c>
      <c r="AG250" s="146">
        <f>+AG228*0.85</f>
        <v>9.282</v>
      </c>
      <c r="AH250" s="179">
        <f>+AH248*AH549</f>
        <v>10.138749329432553</v>
      </c>
      <c r="AI250" s="179">
        <f ca="1">+AI248*AI549</f>
        <v>11.15499033194128</v>
      </c>
      <c r="AJ250" s="179">
        <f t="shared" ref="AJ250:AM250" si="1215">+AJ248*AJ549</f>
        <v>10.008143184587771</v>
      </c>
      <c r="AK250" s="179">
        <f t="shared" si="1215"/>
        <v>12.113174007183616</v>
      </c>
      <c r="AL250" s="179">
        <f t="shared" si="1215"/>
        <v>13.082227927758307</v>
      </c>
      <c r="AM250" s="179">
        <f t="shared" si="1215"/>
        <v>14.39045072053414</v>
      </c>
      <c r="AO250" s="174">
        <v>0</v>
      </c>
      <c r="AP250" s="179">
        <f t="shared" si="1167"/>
        <v>0</v>
      </c>
      <c r="AQ250" s="179">
        <f t="shared" si="1168"/>
        <v>0</v>
      </c>
      <c r="AR250" s="179">
        <f t="shared" si="1169"/>
        <v>0</v>
      </c>
      <c r="AS250" s="179">
        <f t="shared" si="1170"/>
        <v>0</v>
      </c>
      <c r="AT250" s="179">
        <f t="shared" si="1171"/>
        <v>0</v>
      </c>
      <c r="AU250" s="179">
        <f t="shared" si="1172"/>
        <v>0.25052149699541859</v>
      </c>
      <c r="AV250" s="179">
        <f t="shared" si="1173"/>
        <v>15.053471307447658</v>
      </c>
      <c r="AW250" s="179">
        <f t="shared" ca="1" si="1174"/>
        <v>38.311186736565872</v>
      </c>
      <c r="AX250" s="179">
        <f t="shared" si="1178"/>
        <v>49.593995840063833</v>
      </c>
    </row>
    <row r="251" spans="2:53" x14ac:dyDescent="0.2">
      <c r="AA251" s="33"/>
    </row>
    <row r="252" spans="2:53" x14ac:dyDescent="0.2">
      <c r="B252" s="19" t="s">
        <v>85</v>
      </c>
    </row>
    <row r="253" spans="2:53" x14ac:dyDescent="0.2">
      <c r="B253" s="20" t="s">
        <v>370</v>
      </c>
      <c r="H253" s="46">
        <f t="shared" ref="H253:Q257" si="1216">+IFERROR(H245/D245-1,"n/a")</f>
        <v>6.603951297955434</v>
      </c>
      <c r="I253" s="46">
        <f t="shared" si="1216"/>
        <v>3.3172940991674968</v>
      </c>
      <c r="J253" s="46">
        <f>+IFERROR(J245/F245-1,"n/a")</f>
        <v>2.3234252963982684</v>
      </c>
      <c r="K253" s="46">
        <f t="shared" si="1216"/>
        <v>1.6287732819524736</v>
      </c>
      <c r="L253" s="46">
        <f t="shared" si="1216"/>
        <v>1.2958912386706949</v>
      </c>
      <c r="M253" s="46">
        <f t="shared" si="1216"/>
        <v>1.8399146211312694</v>
      </c>
      <c r="N253" s="46">
        <f t="shared" si="1216"/>
        <v>1.1082557018952781</v>
      </c>
      <c r="O253" s="46">
        <f t="shared" si="1216"/>
        <v>0.81309552895186865</v>
      </c>
      <c r="P253" s="46">
        <f t="shared" si="1216"/>
        <v>0.56425319292124509</v>
      </c>
      <c r="Q253" s="46">
        <f t="shared" si="1216"/>
        <v>0.75305031308413506</v>
      </c>
      <c r="R253" s="46">
        <f t="shared" ref="R253:AA257" si="1217">+IFERROR(R245/N245-1,"n/a")</f>
        <v>0.75743602492441675</v>
      </c>
      <c r="S253" s="46">
        <f t="shared" si="1217"/>
        <v>0.56596146071957953</v>
      </c>
      <c r="T253" s="46">
        <f t="shared" si="1217"/>
        <v>1.1000000000000001</v>
      </c>
      <c r="U253" s="46">
        <f t="shared" si="1217"/>
        <v>0.38938048231495559</v>
      </c>
      <c r="V253" s="46">
        <f t="shared" si="1217"/>
        <v>0.35738057803149448</v>
      </c>
      <c r="W253" s="46">
        <f t="shared" si="1217"/>
        <v>0.20750633737572843</v>
      </c>
      <c r="X253" s="46">
        <f t="shared" si="1217"/>
        <v>0.19099018776633803</v>
      </c>
      <c r="Y253" s="46">
        <f t="shared" si="1217"/>
        <v>0.14705323370581125</v>
      </c>
      <c r="Z253" s="46">
        <f t="shared" si="1217"/>
        <v>0.23999999999999977</v>
      </c>
      <c r="AA253" s="46">
        <f t="shared" si="1217"/>
        <v>0.18059846462382501</v>
      </c>
      <c r="AB253" s="46">
        <f t="shared" ref="AB253:AG257" si="1218">+IFERROR(AB245/X245-1,"n/a")</f>
        <v>0.25000000000000022</v>
      </c>
      <c r="AC253" s="46">
        <f t="shared" si="1218"/>
        <v>0.30000000000000004</v>
      </c>
      <c r="AD253" s="46">
        <f t="shared" si="1218"/>
        <v>0.20999999999999996</v>
      </c>
      <c r="AE253" s="46">
        <f t="shared" si="1218"/>
        <v>0.24936635460556889</v>
      </c>
      <c r="AF253" s="46">
        <f t="shared" ref="AF253:AI253" si="1219">+IFERROR(AF245/AB245-1,"n/a")</f>
        <v>0.21999936552067201</v>
      </c>
      <c r="AG253" s="46">
        <f t="shared" si="1218"/>
        <v>0.18000050506773335</v>
      </c>
      <c r="AH253" s="46">
        <f t="shared" si="1219"/>
        <v>0.19000051018003616</v>
      </c>
      <c r="AI253" s="46">
        <f t="shared" si="1219"/>
        <v>0.17413356357267973</v>
      </c>
      <c r="AJ253" s="46">
        <f t="shared" ref="AJ253:AJ257" si="1220">+IFERROR(AJ245/AF245-1,"n/a")</f>
        <v>0.14041666666666663</v>
      </c>
      <c r="AK253" s="46">
        <f t="shared" ref="AK253:AK257" si="1221">+IFERROR(AK245/AG245-1,"n/a")</f>
        <v>0.14041666666666641</v>
      </c>
      <c r="AL253" s="46">
        <f t="shared" ref="AL253:AL257" si="1222">+IFERROR(AL245/AH245-1,"n/a")</f>
        <v>0.14999999999999991</v>
      </c>
      <c r="AM253" s="46">
        <f t="shared" ref="AM253:AM257" si="1223">+IFERROR(AM245/AI245-1,"n/a")</f>
        <v>0.14999999999999991</v>
      </c>
      <c r="AP253" s="46" t="str">
        <f t="shared" ref="AP253:AQ257" si="1224">+IFERROR(AP245/AO245-1,"n/a")</f>
        <v>n/a</v>
      </c>
      <c r="AQ253" s="46">
        <f t="shared" si="1224"/>
        <v>2.338784699360704</v>
      </c>
      <c r="AR253" s="46">
        <f t="shared" ref="AR253:AV253" si="1225">+IFERROR(AR245/AQ245-1,"n/a")</f>
        <v>1.1344359626802372</v>
      </c>
      <c r="AS253" s="46">
        <f t="shared" si="1225"/>
        <v>0.65666600437115008</v>
      </c>
      <c r="AT253" s="46">
        <f t="shared" si="1225"/>
        <v>0.41891084216832741</v>
      </c>
      <c r="AU253" s="46">
        <f t="shared" si="1225"/>
        <v>0.18964071005975236</v>
      </c>
      <c r="AV253" s="46">
        <f t="shared" si="1225"/>
        <v>0.25095127098780146</v>
      </c>
      <c r="AW253" s="46">
        <f t="shared" ref="AW253:AX253" si="1226">+IFERROR(AW245/AV245-1,"n/a")</f>
        <v>0.18925423132499652</v>
      </c>
      <c r="AX253" s="46">
        <f t="shared" si="1226"/>
        <v>0.14562820797400122</v>
      </c>
    </row>
    <row r="254" spans="2:53" ht="13.5" x14ac:dyDescent="0.35">
      <c r="B254" s="20" t="s">
        <v>371</v>
      </c>
      <c r="H254" s="47" t="str">
        <f t="shared" si="1216"/>
        <v>n/a</v>
      </c>
      <c r="I254" s="47" t="str">
        <f t="shared" si="1216"/>
        <v>n/a</v>
      </c>
      <c r="J254" s="47" t="str">
        <f>+IFERROR(J246/F246-1,"n/a")</f>
        <v>n/a</v>
      </c>
      <c r="K254" s="47" t="str">
        <f t="shared" si="1216"/>
        <v>n/a</v>
      </c>
      <c r="L254" s="47" t="str">
        <f t="shared" si="1216"/>
        <v>n/a</v>
      </c>
      <c r="M254" s="47" t="str">
        <f t="shared" si="1216"/>
        <v>n/a</v>
      </c>
      <c r="N254" s="47" t="str">
        <f t="shared" si="1216"/>
        <v>n/a</v>
      </c>
      <c r="O254" s="47" t="str">
        <f t="shared" si="1216"/>
        <v>n/a</v>
      </c>
      <c r="P254" s="47" t="str">
        <f t="shared" si="1216"/>
        <v>n/a</v>
      </c>
      <c r="Q254" s="47" t="str">
        <f t="shared" si="1216"/>
        <v>n/a</v>
      </c>
      <c r="R254" s="47" t="str">
        <f t="shared" si="1217"/>
        <v>n/a</v>
      </c>
      <c r="S254" s="47" t="str">
        <f t="shared" si="1217"/>
        <v>n/a</v>
      </c>
      <c r="T254" s="47" t="str">
        <f t="shared" si="1217"/>
        <v>n/a</v>
      </c>
      <c r="U254" s="47" t="str">
        <f t="shared" si="1217"/>
        <v>n/a</v>
      </c>
      <c r="V254" s="47" t="str">
        <f t="shared" si="1217"/>
        <v>n/a</v>
      </c>
      <c r="W254" s="47">
        <f t="shared" si="1217"/>
        <v>5.1209414255891357</v>
      </c>
      <c r="X254" s="47">
        <f t="shared" si="1217"/>
        <v>1.3871692677516054</v>
      </c>
      <c r="Y254" s="47">
        <f t="shared" si="1217"/>
        <v>1.1169791823031465</v>
      </c>
      <c r="Z254" s="47">
        <f t="shared" si="1217"/>
        <v>0.58433551968715158</v>
      </c>
      <c r="AA254" s="47">
        <f t="shared" si="1217"/>
        <v>0.40406989564967755</v>
      </c>
      <c r="AB254" s="47">
        <f t="shared" si="1218"/>
        <v>0.26878890959789192</v>
      </c>
      <c r="AC254" s="47">
        <f t="shared" si="1218"/>
        <v>0.19627305095184333</v>
      </c>
      <c r="AD254" s="47">
        <f t="shared" si="1218"/>
        <v>0.19613512336084638</v>
      </c>
      <c r="AE254" s="47">
        <f t="shared" si="1218"/>
        <v>0.15305270717269659</v>
      </c>
      <c r="AF254" s="47">
        <f t="shared" ref="AF254:AI254" si="1227">+IFERROR(AF246/AB246-1,"n/a")</f>
        <v>0.15000000000000013</v>
      </c>
      <c r="AG254" s="47">
        <f t="shared" si="1218"/>
        <v>0.12000000000000011</v>
      </c>
      <c r="AH254" s="47">
        <f t="shared" si="1227"/>
        <v>0.10000000000000009</v>
      </c>
      <c r="AI254" s="47">
        <f t="shared" si="1227"/>
        <v>0.10000000000000009</v>
      </c>
      <c r="AJ254" s="47">
        <f t="shared" si="1220"/>
        <v>9.9999999999999867E-2</v>
      </c>
      <c r="AK254" s="47">
        <f t="shared" si="1221"/>
        <v>0.10000000000000009</v>
      </c>
      <c r="AL254" s="47">
        <f t="shared" si="1222"/>
        <v>0.10000000000000009</v>
      </c>
      <c r="AM254" s="47">
        <f t="shared" si="1223"/>
        <v>0.10000000000000009</v>
      </c>
      <c r="AP254" s="47" t="str">
        <f t="shared" si="1224"/>
        <v>n/a</v>
      </c>
      <c r="AQ254" s="47" t="str">
        <f t="shared" si="1224"/>
        <v>n/a</v>
      </c>
      <c r="AR254" s="47" t="str">
        <f t="shared" ref="AR254:AV254" si="1228">+IFERROR(AR246/AQ246-1,"n/a")</f>
        <v>n/a</v>
      </c>
      <c r="AS254" s="47" t="str">
        <f t="shared" si="1228"/>
        <v>n/a</v>
      </c>
      <c r="AT254" s="47">
        <f t="shared" si="1228"/>
        <v>16.831223161098968</v>
      </c>
      <c r="AU254" s="47">
        <f t="shared" si="1228"/>
        <v>0.75655708377051245</v>
      </c>
      <c r="AV254" s="47">
        <f t="shared" si="1228"/>
        <v>0.1995516369795145</v>
      </c>
      <c r="AW254" s="47">
        <f t="shared" ref="AW254:AX254" si="1229">+IFERROR(AW246/AV246-1,"n/a")</f>
        <v>0.11605275937196047</v>
      </c>
      <c r="AX254" s="47">
        <f t="shared" si="1229"/>
        <v>0.10000000000000009</v>
      </c>
    </row>
    <row r="255" spans="2:53" x14ac:dyDescent="0.2">
      <c r="B255" s="30" t="s">
        <v>358</v>
      </c>
      <c r="H255" s="46">
        <f t="shared" si="1216"/>
        <v>6.603951297955434</v>
      </c>
      <c r="I255" s="46">
        <f t="shared" si="1216"/>
        <v>3.3172940991674968</v>
      </c>
      <c r="J255" s="46">
        <f>+IFERROR(J247/F247-1,"n/a")</f>
        <v>2.3234252963982684</v>
      </c>
      <c r="K255" s="46">
        <f t="shared" si="1216"/>
        <v>1.6287732819524736</v>
      </c>
      <c r="L255" s="46">
        <f t="shared" si="1216"/>
        <v>1.2958912386706949</v>
      </c>
      <c r="M255" s="46">
        <f t="shared" si="1216"/>
        <v>1.8399146211312694</v>
      </c>
      <c r="N255" s="46">
        <f t="shared" si="1216"/>
        <v>1.1082557018952781</v>
      </c>
      <c r="O255" s="46">
        <f t="shared" si="1216"/>
        <v>0.81309552895186865</v>
      </c>
      <c r="P255" s="46">
        <f t="shared" si="1216"/>
        <v>0.56425319292124509</v>
      </c>
      <c r="Q255" s="46">
        <f t="shared" si="1216"/>
        <v>0.75305031308413506</v>
      </c>
      <c r="R255" s="46">
        <f t="shared" si="1217"/>
        <v>0.75743602492441675</v>
      </c>
      <c r="S255" s="46">
        <f t="shared" si="1217"/>
        <v>0.58425414364640882</v>
      </c>
      <c r="T255" s="46">
        <f t="shared" si="1217"/>
        <v>1.178385004633637</v>
      </c>
      <c r="U255" s="46">
        <f t="shared" si="1217"/>
        <v>0.45053481844964405</v>
      </c>
      <c r="V255" s="46">
        <f t="shared" si="1217"/>
        <v>0.43893159151377925</v>
      </c>
      <c r="W255" s="46">
        <f t="shared" si="1217"/>
        <v>0.26423960237030353</v>
      </c>
      <c r="X255" s="46">
        <f t="shared" si="1217"/>
        <v>0.23403239680094967</v>
      </c>
      <c r="Y255" s="46">
        <f t="shared" si="1217"/>
        <v>0.18794517006737688</v>
      </c>
      <c r="Z255" s="46">
        <f t="shared" si="1217"/>
        <v>0.25951511161061847</v>
      </c>
      <c r="AA255" s="46">
        <f t="shared" si="1217"/>
        <v>0.19309136848997066</v>
      </c>
      <c r="AB255" s="46">
        <f t="shared" si="1218"/>
        <v>0.25130784591391442</v>
      </c>
      <c r="AC255" s="46">
        <f t="shared" si="1218"/>
        <v>0.2922068884407818</v>
      </c>
      <c r="AD255" s="46">
        <f t="shared" si="1218"/>
        <v>0.2090115629831375</v>
      </c>
      <c r="AE255" s="46">
        <f t="shared" si="1218"/>
        <v>0.24302993043235377</v>
      </c>
      <c r="AF255" s="46">
        <f t="shared" ref="AF255:AI255" si="1230">+IFERROR(AF247/AB247-1,"n/a")</f>
        <v>0.21505882673856913</v>
      </c>
      <c r="AG255" s="46">
        <f t="shared" si="1218"/>
        <v>0.17582727370228857</v>
      </c>
      <c r="AH255" s="46">
        <f t="shared" si="1230"/>
        <v>0.18365264416476812</v>
      </c>
      <c r="AI255" s="46">
        <f t="shared" si="1230"/>
        <v>0.1696093941220429</v>
      </c>
      <c r="AJ255" s="46">
        <f t="shared" si="1220"/>
        <v>0.1377168067113248</v>
      </c>
      <c r="AK255" s="46">
        <f t="shared" si="1221"/>
        <v>0.13773902447678621</v>
      </c>
      <c r="AL255" s="46">
        <f t="shared" si="1222"/>
        <v>0.14672266227525577</v>
      </c>
      <c r="AM255" s="46">
        <f t="shared" si="1223"/>
        <v>0.14713023835047823</v>
      </c>
      <c r="AP255" s="46" t="str">
        <f t="shared" si="1224"/>
        <v>n/a</v>
      </c>
      <c r="AQ255" s="46">
        <f t="shared" si="1224"/>
        <v>2.338784699360704</v>
      </c>
      <c r="AR255" s="46">
        <f t="shared" ref="AR255:AV255" si="1231">+IFERROR(AR247/AQ247-1,"n/a")</f>
        <v>1.1344359626802372</v>
      </c>
      <c r="AS255" s="46">
        <f t="shared" si="1231"/>
        <v>0.66340900059606556</v>
      </c>
      <c r="AT255" s="46">
        <f t="shared" si="1231"/>
        <v>0.48544177951989154</v>
      </c>
      <c r="AU255" s="46">
        <f t="shared" si="1231"/>
        <v>0.2172273223060075</v>
      </c>
      <c r="AV255" s="46">
        <f t="shared" si="1231"/>
        <v>0.24734191288810514</v>
      </c>
      <c r="AW255" s="46">
        <f t="shared" ref="AW255:AX255" si="1232">+IFERROR(AW247/AV247-1,"n/a")</f>
        <v>0.1843108604794339</v>
      </c>
      <c r="AX255" s="46">
        <f t="shared" si="1232"/>
        <v>0.14272448083293354</v>
      </c>
    </row>
    <row r="256" spans="2:53" ht="13.5" x14ac:dyDescent="0.35">
      <c r="B256" s="20" t="s">
        <v>372</v>
      </c>
      <c r="H256" s="47" t="str">
        <f t="shared" si="1216"/>
        <v>n/a</v>
      </c>
      <c r="I256" s="47" t="str">
        <f t="shared" si="1216"/>
        <v>n/a</v>
      </c>
      <c r="J256" s="47" t="str">
        <f>+IFERROR(J248/F248-1,"n/a")</f>
        <v>n/a</v>
      </c>
      <c r="K256" s="47" t="str">
        <f t="shared" si="1216"/>
        <v>n/a</v>
      </c>
      <c r="L256" s="47" t="str">
        <f t="shared" si="1216"/>
        <v>n/a</v>
      </c>
      <c r="M256" s="47" t="str">
        <f t="shared" si="1216"/>
        <v>n/a</v>
      </c>
      <c r="N256" s="47" t="str">
        <f t="shared" si="1216"/>
        <v>n/a</v>
      </c>
      <c r="O256" s="47" t="str">
        <f t="shared" si="1216"/>
        <v>n/a</v>
      </c>
      <c r="P256" s="47" t="str">
        <f t="shared" si="1216"/>
        <v>n/a</v>
      </c>
      <c r="Q256" s="47" t="str">
        <f t="shared" si="1216"/>
        <v>n/a</v>
      </c>
      <c r="R256" s="47" t="str">
        <f t="shared" si="1217"/>
        <v>n/a</v>
      </c>
      <c r="S256" s="47" t="str">
        <f t="shared" si="1217"/>
        <v>n/a</v>
      </c>
      <c r="T256" s="47" t="str">
        <f t="shared" si="1217"/>
        <v>n/a</v>
      </c>
      <c r="U256" s="47" t="str">
        <f t="shared" si="1217"/>
        <v>n/a</v>
      </c>
      <c r="V256" s="47" t="str">
        <f t="shared" si="1217"/>
        <v>n/a</v>
      </c>
      <c r="W256" s="47" t="str">
        <f t="shared" si="1217"/>
        <v>n/a</v>
      </c>
      <c r="X256" s="47" t="str">
        <f t="shared" si="1217"/>
        <v>n/a</v>
      </c>
      <c r="Y256" s="47" t="str">
        <f t="shared" si="1217"/>
        <v>n/a</v>
      </c>
      <c r="Z256" s="47" t="str">
        <f t="shared" si="1217"/>
        <v>n/a</v>
      </c>
      <c r="AA256" s="47" t="str">
        <f t="shared" si="1217"/>
        <v>n/a</v>
      </c>
      <c r="AB256" s="47" t="str">
        <f t="shared" si="1218"/>
        <v>n/a</v>
      </c>
      <c r="AC256" s="47" t="str">
        <f t="shared" si="1218"/>
        <v>n/a</v>
      </c>
      <c r="AD256" s="47">
        <f t="shared" si="1218"/>
        <v>1565.0238807217838</v>
      </c>
      <c r="AE256" s="47">
        <f t="shared" si="1218"/>
        <v>27.574913288249853</v>
      </c>
      <c r="AF256" s="47">
        <f t="shared" ref="AF256:AI256" si="1233">+IFERROR(AF248/AB248-1,"n/a")</f>
        <v>10.242309140885673</v>
      </c>
      <c r="AG256" s="47">
        <f t="shared" si="1218"/>
        <v>2.9086784580857867</v>
      </c>
      <c r="AH256" s="47">
        <f t="shared" si="1233"/>
        <v>1.0344785269889685</v>
      </c>
      <c r="AI256" s="47">
        <f t="shared" si="1233"/>
        <v>0.59090694565985591</v>
      </c>
      <c r="AJ256" s="47">
        <f t="shared" si="1220"/>
        <v>0.30000000000000004</v>
      </c>
      <c r="AK256" s="47">
        <f t="shared" si="1221"/>
        <v>0.29999999999999982</v>
      </c>
      <c r="AL256" s="47">
        <f t="shared" si="1222"/>
        <v>0.30000000000000004</v>
      </c>
      <c r="AM256" s="47">
        <f t="shared" si="1223"/>
        <v>0.30000000000000004</v>
      </c>
      <c r="AP256" s="47" t="str">
        <f t="shared" si="1224"/>
        <v>n/a</v>
      </c>
      <c r="AQ256" s="47" t="str">
        <f t="shared" si="1224"/>
        <v>n/a</v>
      </c>
      <c r="AR256" s="47" t="str">
        <f t="shared" ref="AR256:AV256" si="1234">+IFERROR(AR248/AQ248-1,"n/a")</f>
        <v>n/a</v>
      </c>
      <c r="AS256" s="47" t="str">
        <f t="shared" si="1234"/>
        <v>n/a</v>
      </c>
      <c r="AT256" s="47" t="str">
        <f t="shared" si="1234"/>
        <v>n/a</v>
      </c>
      <c r="AU256" s="47" t="str">
        <f t="shared" si="1234"/>
        <v>n/a</v>
      </c>
      <c r="AV256" s="47">
        <f t="shared" si="1234"/>
        <v>59.703229722025632</v>
      </c>
      <c r="AW256" s="47">
        <f t="shared" ref="AW256:AX256" si="1235">+IFERROR(AW248/AV248-1,"n/a")</f>
        <v>1.5478592839887462</v>
      </c>
      <c r="AX256" s="47">
        <f t="shared" si="1235"/>
        <v>0.30000000000000004</v>
      </c>
    </row>
    <row r="257" spans="2:50" x14ac:dyDescent="0.2">
      <c r="B257" s="30" t="s">
        <v>396</v>
      </c>
      <c r="H257" s="46">
        <f t="shared" si="1216"/>
        <v>6.603951297955434</v>
      </c>
      <c r="I257" s="46">
        <f t="shared" si="1216"/>
        <v>3.3172940991674968</v>
      </c>
      <c r="J257" s="46">
        <f>+IFERROR(J249/F249-1,"n/a")</f>
        <v>2.3234252963982684</v>
      </c>
      <c r="K257" s="46">
        <f t="shared" si="1216"/>
        <v>1.6287732819524736</v>
      </c>
      <c r="L257" s="46">
        <f t="shared" si="1216"/>
        <v>1.2958912386706949</v>
      </c>
      <c r="M257" s="46">
        <f t="shared" si="1216"/>
        <v>1.8399146211312694</v>
      </c>
      <c r="N257" s="46">
        <f t="shared" si="1216"/>
        <v>1.1082557018952781</v>
      </c>
      <c r="O257" s="46">
        <f t="shared" si="1216"/>
        <v>0.81309552895186865</v>
      </c>
      <c r="P257" s="46">
        <f t="shared" si="1216"/>
        <v>0.56425319292124509</v>
      </c>
      <c r="Q257" s="46">
        <f t="shared" si="1216"/>
        <v>0.75305031308413506</v>
      </c>
      <c r="R257" s="46">
        <f t="shared" si="1217"/>
        <v>0.75743602492441675</v>
      </c>
      <c r="S257" s="46">
        <f t="shared" si="1217"/>
        <v>0.58425414364640882</v>
      </c>
      <c r="T257" s="46">
        <f t="shared" si="1217"/>
        <v>1.178385004633637</v>
      </c>
      <c r="U257" s="46">
        <f t="shared" si="1217"/>
        <v>0.45053481844964405</v>
      </c>
      <c r="V257" s="46">
        <f t="shared" si="1217"/>
        <v>0.43893159151377925</v>
      </c>
      <c r="W257" s="46">
        <f t="shared" si="1217"/>
        <v>0.26423960237030353</v>
      </c>
      <c r="X257" s="46">
        <f t="shared" si="1217"/>
        <v>0.23403239680094967</v>
      </c>
      <c r="Y257" s="46">
        <f t="shared" si="1217"/>
        <v>0.18794517006737688</v>
      </c>
      <c r="Z257" s="46">
        <f t="shared" si="1217"/>
        <v>0.25957532434997344</v>
      </c>
      <c r="AA257" s="46">
        <f t="shared" si="1217"/>
        <v>0.1970306939010924</v>
      </c>
      <c r="AB257" s="46">
        <f t="shared" si="1218"/>
        <v>0.26418987497368551</v>
      </c>
      <c r="AC257" s="46">
        <f t="shared" si="1218"/>
        <v>0.33272464281402958</v>
      </c>
      <c r="AD257" s="46">
        <f t="shared" si="1218"/>
        <v>0.28381597367151268</v>
      </c>
      <c r="AE257" s="46">
        <f t="shared" si="1218"/>
        <v>0.33297681583290673</v>
      </c>
      <c r="AF257" s="46">
        <f t="shared" ref="AF257:AI257" si="1236">+IFERROR(AF249/AB249-1,"n/a")</f>
        <v>0.31723598579794787</v>
      </c>
      <c r="AG257" s="46">
        <f t="shared" si="1218"/>
        <v>0.25891194811311613</v>
      </c>
      <c r="AH257" s="46">
        <f t="shared" si="1236"/>
        <v>0.23326622122924423</v>
      </c>
      <c r="AI257" s="46">
        <f t="shared" si="1236"/>
        <v>0.19933069617250299</v>
      </c>
      <c r="AJ257" s="46">
        <f t="shared" si="1220"/>
        <v>0.15183039512614527</v>
      </c>
      <c r="AK257" s="46">
        <f t="shared" si="1221"/>
        <v>0.1530553155709955</v>
      </c>
      <c r="AL257" s="46">
        <f t="shared" si="1222"/>
        <v>0.16146729875029142</v>
      </c>
      <c r="AM257" s="46">
        <f t="shared" si="1223"/>
        <v>0.16143584611431927</v>
      </c>
      <c r="AP257" s="46" t="str">
        <f t="shared" si="1224"/>
        <v>n/a</v>
      </c>
      <c r="AQ257" s="46">
        <f t="shared" si="1224"/>
        <v>2.338784699360704</v>
      </c>
      <c r="AR257" s="46">
        <f t="shared" ref="AR257:AV257" si="1237">+IFERROR(AR249/AQ249-1,"n/a")</f>
        <v>1.1344359626802372</v>
      </c>
      <c r="AS257" s="46">
        <f t="shared" si="1237"/>
        <v>0.66340900059606556</v>
      </c>
      <c r="AT257" s="46">
        <f t="shared" si="1237"/>
        <v>0.48544177951989154</v>
      </c>
      <c r="AU257" s="46">
        <f t="shared" si="1237"/>
        <v>0.21841964578079076</v>
      </c>
      <c r="AV257" s="46">
        <f t="shared" si="1237"/>
        <v>0.30552437161190582</v>
      </c>
      <c r="AW257" s="46">
        <f t="shared" ref="AW257:AX257" si="1238">+IFERROR(AW249/AV249-1,"n/a")</f>
        <v>0.24635411656442963</v>
      </c>
      <c r="AX257" s="46">
        <f t="shared" si="1238"/>
        <v>0.15735363207845943</v>
      </c>
    </row>
    <row r="258" spans="2:50" x14ac:dyDescent="0.2">
      <c r="H258" s="46"/>
      <c r="I258" s="46"/>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row>
    <row r="259" spans="2:50" x14ac:dyDescent="0.2">
      <c r="B259" s="19" t="s">
        <v>261</v>
      </c>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row>
    <row r="260" spans="2:50" x14ac:dyDescent="0.2">
      <c r="B260" s="20" t="s">
        <v>370</v>
      </c>
      <c r="E260" s="46">
        <f t="shared" ref="E260:G264" si="1239">IFERROR(E245/D245-1,"n/a")</f>
        <v>1.1937744084539403</v>
      </c>
      <c r="F260" s="46">
        <f t="shared" si="1239"/>
        <v>0.86365778313000674</v>
      </c>
      <c r="G260" s="46">
        <f t="shared" si="1239"/>
        <v>1.1871663763555653</v>
      </c>
      <c r="H260" s="46">
        <f t="shared" ref="H260:AG260" si="1240">IFERROR(H245/G245-1,"n/a")</f>
        <v>-0.14964675658317272</v>
      </c>
      <c r="I260" s="46">
        <f t="shared" si="1240"/>
        <v>0.24555891238670724</v>
      </c>
      <c r="J260" s="46">
        <f t="shared" si="1240"/>
        <v>0.43463180362860121</v>
      </c>
      <c r="K260" s="46">
        <f t="shared" si="1240"/>
        <v>0.7300116658494944</v>
      </c>
      <c r="L260" s="46">
        <f t="shared" si="1240"/>
        <v>-0.25732714390422684</v>
      </c>
      <c r="M260" s="46">
        <f t="shared" si="1240"/>
        <v>0.54070058162486512</v>
      </c>
      <c r="N260" s="46">
        <f t="shared" si="1240"/>
        <v>6.5021693826654348E-2</v>
      </c>
      <c r="O260" s="46">
        <f t="shared" si="1240"/>
        <v>0.48780644281738961</v>
      </c>
      <c r="P260" s="46">
        <f t="shared" si="1240"/>
        <v>-0.35925693495293298</v>
      </c>
      <c r="Q260" s="46">
        <f t="shared" si="1240"/>
        <v>0.72665502567547646</v>
      </c>
      <c r="R260" s="46">
        <f t="shared" si="1240"/>
        <v>6.7686122917999025E-2</v>
      </c>
      <c r="S260" s="46">
        <f t="shared" si="1240"/>
        <v>0.32570831451035165</v>
      </c>
      <c r="T260" s="46">
        <f t="shared" si="1240"/>
        <v>-0.140744858445917</v>
      </c>
      <c r="U260" s="46">
        <f t="shared" si="1240"/>
        <v>0.14237180588787401</v>
      </c>
      <c r="V260" s="46">
        <f t="shared" si="1240"/>
        <v>4.3095412041429526E-2</v>
      </c>
      <c r="W260" s="46">
        <f t="shared" si="1240"/>
        <v>0.17933114499432801</v>
      </c>
      <c r="X260" s="46">
        <f t="shared" si="1240"/>
        <v>-0.1524976634054237</v>
      </c>
      <c r="Y260" s="46">
        <f t="shared" si="1240"/>
        <v>0.10022843806595239</v>
      </c>
      <c r="Z260" s="46">
        <f t="shared" si="1240"/>
        <v>0.12761838153982752</v>
      </c>
      <c r="AA260" s="46">
        <f t="shared" si="1240"/>
        <v>0.12283591859948495</v>
      </c>
      <c r="AB260" s="46">
        <f t="shared" si="1240"/>
        <v>-0.10267719932977304</v>
      </c>
      <c r="AC260" s="46">
        <f t="shared" si="1240"/>
        <v>0.14423757558859052</v>
      </c>
      <c r="AD260" s="46">
        <f t="shared" si="1240"/>
        <v>4.9552493587070146E-2</v>
      </c>
      <c r="AE260" s="46">
        <f t="shared" si="1240"/>
        <v>0.15936646152135014</v>
      </c>
      <c r="AF260" s="46">
        <f t="shared" ref="AF260:AI260" si="1241">IFERROR(AF245/AE245-1,"n/a")</f>
        <v>-0.12376922633672016</v>
      </c>
      <c r="AG260" s="46">
        <f t="shared" si="1240"/>
        <v>0.10672263877430432</v>
      </c>
      <c r="AH260" s="46">
        <f t="shared" si="1241"/>
        <v>5.8447006984671201E-2</v>
      </c>
      <c r="AI260" s="46">
        <f t="shared" si="1241"/>
        <v>0.14390797592747773</v>
      </c>
      <c r="AJ260" s="46">
        <f t="shared" ref="AJ260:AJ264" si="1242">IFERROR(AJ245/AI245-1,"n/a")</f>
        <v>-0.1489314255771409</v>
      </c>
      <c r="AK260" s="46">
        <f t="shared" ref="AK260:AK264" si="1243">IFERROR(AK245/AJ245-1,"n/a")</f>
        <v>0.10672263877430432</v>
      </c>
      <c r="AL260" s="46">
        <f t="shared" ref="AL260:AL264" si="1244">IFERROR(AL245/AK245-1,"n/a")</f>
        <v>6.7341519648407955E-2</v>
      </c>
      <c r="AM260" s="46">
        <f t="shared" ref="AM260:AM264" si="1245">IFERROR(AM245/AL245-1,"n/a")</f>
        <v>0.14390797592747773</v>
      </c>
    </row>
    <row r="261" spans="2:50" ht="13.5" x14ac:dyDescent="0.35">
      <c r="B261" s="20" t="s">
        <v>371</v>
      </c>
      <c r="E261" s="47" t="str">
        <f t="shared" si="1239"/>
        <v>n/a</v>
      </c>
      <c r="F261" s="47" t="str">
        <f t="shared" si="1239"/>
        <v>n/a</v>
      </c>
      <c r="G261" s="47" t="str">
        <f t="shared" si="1239"/>
        <v>n/a</v>
      </c>
      <c r="H261" s="47" t="str">
        <f t="shared" ref="H261:S261" si="1246">IFERROR(H246/G246-1,"n/a")</f>
        <v>n/a</v>
      </c>
      <c r="I261" s="47" t="str">
        <f t="shared" si="1246"/>
        <v>n/a</v>
      </c>
      <c r="J261" s="47" t="str">
        <f t="shared" si="1246"/>
        <v>n/a</v>
      </c>
      <c r="K261" s="47" t="str">
        <f t="shared" si="1246"/>
        <v>n/a</v>
      </c>
      <c r="L261" s="47" t="str">
        <f t="shared" si="1246"/>
        <v>n/a</v>
      </c>
      <c r="M261" s="47" t="str">
        <f t="shared" si="1246"/>
        <v>n/a</v>
      </c>
      <c r="N261" s="47" t="str">
        <f t="shared" si="1246"/>
        <v>n/a</v>
      </c>
      <c r="O261" s="47" t="str">
        <f t="shared" si="1246"/>
        <v>n/a</v>
      </c>
      <c r="P261" s="47" t="str">
        <f t="shared" si="1246"/>
        <v>n/a</v>
      </c>
      <c r="Q261" s="47" t="str">
        <f t="shared" si="1246"/>
        <v>n/a</v>
      </c>
      <c r="R261" s="47" t="str">
        <f t="shared" si="1246"/>
        <v>n/a</v>
      </c>
      <c r="S261" s="47" t="str">
        <f t="shared" si="1246"/>
        <v>n/a</v>
      </c>
      <c r="T261" s="47">
        <f t="shared" ref="T261:AG261" si="1247">IFERROR(T246/S246-1,"n/a")</f>
        <v>1.7456140973734517</v>
      </c>
      <c r="U261" s="47">
        <f t="shared" si="1247"/>
        <v>0.34710002662288364</v>
      </c>
      <c r="V261" s="47">
        <f t="shared" si="1247"/>
        <v>0.42378923406455038</v>
      </c>
      <c r="W261" s="47">
        <f t="shared" si="1247"/>
        <v>0.16233998516913117</v>
      </c>
      <c r="X261" s="47">
        <f t="shared" si="1247"/>
        <v>7.0790445233614996E-2</v>
      </c>
      <c r="Y261" s="47">
        <f t="shared" si="1247"/>
        <v>0.19462945144508237</v>
      </c>
      <c r="Z261" s="47">
        <f t="shared" si="1247"/>
        <v>6.555599362224207E-2</v>
      </c>
      <c r="AA261" s="47">
        <f t="shared" si="1247"/>
        <v>3.0088994033367067E-2</v>
      </c>
      <c r="AB261" s="47">
        <f t="shared" si="1247"/>
        <v>-3.2379338361102072E-2</v>
      </c>
      <c r="AC261" s="47">
        <f t="shared" si="1247"/>
        <v>0.12635207308838403</v>
      </c>
      <c r="AD261" s="47">
        <f t="shared" si="1247"/>
        <v>6.543313741382395E-2</v>
      </c>
      <c r="AE261" s="47">
        <f t="shared" si="1247"/>
        <v>-7.0127697097499553E-3</v>
      </c>
      <c r="AF261" s="47">
        <f t="shared" ref="AF261:AI261" si="1248">IFERROR(AF246/AE246-1,"n/a")</f>
        <v>-3.4941114172267973E-2</v>
      </c>
      <c r="AG261" s="47">
        <f t="shared" si="1247"/>
        <v>9.6968975529556634E-2</v>
      </c>
      <c r="AH261" s="47">
        <f t="shared" si="1248"/>
        <v>4.6407545674291395E-2</v>
      </c>
      <c r="AI261" s="47">
        <f t="shared" si="1248"/>
        <v>-7.0127697097499553E-3</v>
      </c>
      <c r="AJ261" s="47">
        <f t="shared" si="1242"/>
        <v>-3.4941114172267973E-2</v>
      </c>
      <c r="AK261" s="47">
        <f t="shared" si="1243"/>
        <v>9.6968975529556856E-2</v>
      </c>
      <c r="AL261" s="47">
        <f t="shared" si="1244"/>
        <v>4.6407545674291173E-2</v>
      </c>
      <c r="AM261" s="47">
        <f t="shared" si="1245"/>
        <v>-7.0127697097499553E-3</v>
      </c>
    </row>
    <row r="262" spans="2:50" x14ac:dyDescent="0.2">
      <c r="B262" s="30" t="s">
        <v>358</v>
      </c>
      <c r="E262" s="46">
        <f t="shared" si="1239"/>
        <v>1.1937744084539403</v>
      </c>
      <c r="F262" s="46">
        <f t="shared" si="1239"/>
        <v>0.86365778313000674</v>
      </c>
      <c r="G262" s="46">
        <f t="shared" si="1239"/>
        <v>1.1871663763555653</v>
      </c>
      <c r="H262" s="46">
        <f t="shared" ref="H262:S262" si="1249">IFERROR(H247/G247-1,"n/a")</f>
        <v>-0.14964675658317272</v>
      </c>
      <c r="I262" s="46">
        <f t="shared" si="1249"/>
        <v>0.24555891238670724</v>
      </c>
      <c r="J262" s="46">
        <f t="shared" si="1249"/>
        <v>0.43463180362860121</v>
      </c>
      <c r="K262" s="46">
        <f t="shared" si="1249"/>
        <v>0.7300116658494944</v>
      </c>
      <c r="L262" s="46">
        <f t="shared" si="1249"/>
        <v>-0.25732714390422684</v>
      </c>
      <c r="M262" s="46">
        <f t="shared" si="1249"/>
        <v>0.54070058162486512</v>
      </c>
      <c r="N262" s="46">
        <f t="shared" si="1249"/>
        <v>6.5021693826654348E-2</v>
      </c>
      <c r="O262" s="46">
        <f t="shared" si="1249"/>
        <v>0.48780644281738961</v>
      </c>
      <c r="P262" s="46">
        <f t="shared" si="1249"/>
        <v>-0.35925693495293298</v>
      </c>
      <c r="Q262" s="46">
        <f t="shared" si="1249"/>
        <v>0.72665502567547646</v>
      </c>
      <c r="R262" s="46">
        <f t="shared" si="1249"/>
        <v>6.7686122917999025E-2</v>
      </c>
      <c r="S262" s="46">
        <f t="shared" si="1249"/>
        <v>0.34119449501932508</v>
      </c>
      <c r="T262" s="46">
        <f t="shared" ref="T262:AG262" si="1250">IFERROR(T247/S247-1,"n/a")</f>
        <v>-0.11896390467446827</v>
      </c>
      <c r="U262" s="46">
        <f t="shared" si="1250"/>
        <v>0.14973855809045289</v>
      </c>
      <c r="V262" s="46">
        <f t="shared" si="1250"/>
        <v>5.9145407987948317E-2</v>
      </c>
      <c r="W262" s="46">
        <f t="shared" si="1250"/>
        <v>0.17836817614149547</v>
      </c>
      <c r="X262" s="46">
        <f t="shared" si="1250"/>
        <v>-0.14001500795870447</v>
      </c>
      <c r="Y262" s="46">
        <f t="shared" si="1250"/>
        <v>0.10679944097455696</v>
      </c>
      <c r="Z262" s="46">
        <f t="shared" si="1250"/>
        <v>0.12295557098662502</v>
      </c>
      <c r="AA262" s="46">
        <f t="shared" si="1250"/>
        <v>0.11622392371289347</v>
      </c>
      <c r="AB262" s="46">
        <f t="shared" si="1250"/>
        <v>-9.8052340055518439E-2</v>
      </c>
      <c r="AC262" s="46">
        <f t="shared" si="1250"/>
        <v>0.1429752210217683</v>
      </c>
      <c r="AD262" s="46">
        <f t="shared" si="1250"/>
        <v>5.0657044304542209E-2</v>
      </c>
      <c r="AE262" s="46">
        <f t="shared" si="1250"/>
        <v>0.14763149395877107</v>
      </c>
      <c r="AF262" s="46">
        <f t="shared" ref="AF262:AI262" si="1251">IFERROR(AF247/AE247-1,"n/a")</f>
        <v>-0.11834828861236324</v>
      </c>
      <c r="AG262" s="46">
        <f t="shared" si="1250"/>
        <v>0.10607108764492601</v>
      </c>
      <c r="AH262" s="46">
        <f t="shared" si="1251"/>
        <v>5.7649381346367434E-2</v>
      </c>
      <c r="AI262" s="46">
        <f t="shared" si="1251"/>
        <v>0.13401561086500924</v>
      </c>
      <c r="AJ262" s="46">
        <f t="shared" si="1242"/>
        <v>-0.14238892509540557</v>
      </c>
      <c r="AK262" s="46">
        <f t="shared" si="1243"/>
        <v>0.10609268742077882</v>
      </c>
      <c r="AL262" s="46">
        <f t="shared" si="1244"/>
        <v>6.6000627770529174E-2</v>
      </c>
      <c r="AM262" s="46">
        <f t="shared" si="1245"/>
        <v>0.13441867051240508</v>
      </c>
    </row>
    <row r="263" spans="2:50" ht="13.5" x14ac:dyDescent="0.35">
      <c r="B263" s="20" t="s">
        <v>372</v>
      </c>
      <c r="E263" s="47" t="str">
        <f t="shared" si="1239"/>
        <v>n/a</v>
      </c>
      <c r="F263" s="47" t="str">
        <f t="shared" si="1239"/>
        <v>n/a</v>
      </c>
      <c r="G263" s="47" t="str">
        <f t="shared" si="1239"/>
        <v>n/a</v>
      </c>
      <c r="H263" s="47" t="str">
        <f t="shared" ref="H263:S263" si="1252">IFERROR(H248/G248-1,"n/a")</f>
        <v>n/a</v>
      </c>
      <c r="I263" s="47" t="str">
        <f t="shared" si="1252"/>
        <v>n/a</v>
      </c>
      <c r="J263" s="47" t="str">
        <f t="shared" si="1252"/>
        <v>n/a</v>
      </c>
      <c r="K263" s="47" t="str">
        <f t="shared" si="1252"/>
        <v>n/a</v>
      </c>
      <c r="L263" s="47" t="str">
        <f t="shared" si="1252"/>
        <v>n/a</v>
      </c>
      <c r="M263" s="47" t="str">
        <f t="shared" si="1252"/>
        <v>n/a</v>
      </c>
      <c r="N263" s="47" t="str">
        <f t="shared" si="1252"/>
        <v>n/a</v>
      </c>
      <c r="O263" s="47" t="str">
        <f t="shared" si="1252"/>
        <v>n/a</v>
      </c>
      <c r="P263" s="47" t="str">
        <f t="shared" si="1252"/>
        <v>n/a</v>
      </c>
      <c r="Q263" s="47" t="str">
        <f t="shared" si="1252"/>
        <v>n/a</v>
      </c>
      <c r="R263" s="47" t="str">
        <f t="shared" si="1252"/>
        <v>n/a</v>
      </c>
      <c r="S263" s="47" t="str">
        <f t="shared" si="1252"/>
        <v>n/a</v>
      </c>
      <c r="T263" s="47" t="str">
        <f t="shared" ref="T263:AG263" si="1253">IFERROR(T248/S248-1,"n/a")</f>
        <v>n/a</v>
      </c>
      <c r="U263" s="47" t="str">
        <f t="shared" si="1253"/>
        <v>n/a</v>
      </c>
      <c r="V263" s="47" t="str">
        <f t="shared" si="1253"/>
        <v>n/a</v>
      </c>
      <c r="W263" s="47" t="str">
        <f t="shared" si="1253"/>
        <v>n/a</v>
      </c>
      <c r="X263" s="47" t="str">
        <f t="shared" si="1253"/>
        <v>n/a</v>
      </c>
      <c r="Y263" s="47" t="str">
        <f t="shared" si="1253"/>
        <v>n/a</v>
      </c>
      <c r="Z263" s="47" t="str">
        <f t="shared" si="1253"/>
        <v>n/a</v>
      </c>
      <c r="AA263" s="47">
        <f t="shared" si="1253"/>
        <v>76.092916709152448</v>
      </c>
      <c r="AB263" s="47">
        <f t="shared" si="1253"/>
        <v>1.81224588026314</v>
      </c>
      <c r="AC263" s="47">
        <f t="shared" si="1253"/>
        <v>2.4812084091550459</v>
      </c>
      <c r="AD263" s="47">
        <f t="shared" si="1253"/>
        <v>1.0749163378884554</v>
      </c>
      <c r="AE263" s="47">
        <f t="shared" si="1253"/>
        <v>0.4066984783699259</v>
      </c>
      <c r="AF263" s="47">
        <f t="shared" ref="AF263:AI263" si="1254">IFERROR(AF248/AE248-1,"n/a")</f>
        <v>0.10642986899635098</v>
      </c>
      <c r="AG263" s="47">
        <f t="shared" si="1253"/>
        <v>0.21033180518815198</v>
      </c>
      <c r="AH263" s="47">
        <f t="shared" si="1254"/>
        <v>8.0000000000000071E-2</v>
      </c>
      <c r="AI263" s="47">
        <f t="shared" si="1254"/>
        <v>0.10000000000000031</v>
      </c>
      <c r="AJ263" s="47">
        <f t="shared" si="1242"/>
        <v>-9.5887516476538814E-2</v>
      </c>
      <c r="AK263" s="47">
        <f t="shared" si="1243"/>
        <v>0.21033180518815175</v>
      </c>
      <c r="AL263" s="47">
        <f t="shared" si="1244"/>
        <v>8.0000000000000071E-2</v>
      </c>
      <c r="AM263" s="47">
        <f t="shared" si="1245"/>
        <v>0.10000000000000009</v>
      </c>
    </row>
    <row r="264" spans="2:50" x14ac:dyDescent="0.2">
      <c r="B264" s="30" t="s">
        <v>396</v>
      </c>
      <c r="E264" s="46">
        <f t="shared" si="1239"/>
        <v>1.1937744084539403</v>
      </c>
      <c r="F264" s="46">
        <f t="shared" si="1239"/>
        <v>0.86365778313000674</v>
      </c>
      <c r="G264" s="46">
        <f t="shared" si="1239"/>
        <v>1.1871663763555653</v>
      </c>
      <c r="H264" s="46">
        <f t="shared" ref="H264:S264" si="1255">IFERROR(H249/G249-1,"n/a")</f>
        <v>-0.14964675658317272</v>
      </c>
      <c r="I264" s="46">
        <f t="shared" si="1255"/>
        <v>0.24555891238670724</v>
      </c>
      <c r="J264" s="46">
        <f t="shared" si="1255"/>
        <v>0.43463180362860121</v>
      </c>
      <c r="K264" s="46">
        <f t="shared" si="1255"/>
        <v>0.7300116658494944</v>
      </c>
      <c r="L264" s="46">
        <f t="shared" si="1255"/>
        <v>-0.25732714390422684</v>
      </c>
      <c r="M264" s="46">
        <f t="shared" si="1255"/>
        <v>0.54070058162486512</v>
      </c>
      <c r="N264" s="46">
        <f t="shared" si="1255"/>
        <v>6.5021693826654348E-2</v>
      </c>
      <c r="O264" s="46">
        <f t="shared" si="1255"/>
        <v>0.48780644281738961</v>
      </c>
      <c r="P264" s="46">
        <f t="shared" si="1255"/>
        <v>-0.35925693495293298</v>
      </c>
      <c r="Q264" s="46">
        <f t="shared" si="1255"/>
        <v>0.72665502567547646</v>
      </c>
      <c r="R264" s="46">
        <f t="shared" si="1255"/>
        <v>6.7686122917999025E-2</v>
      </c>
      <c r="S264" s="46">
        <f t="shared" si="1255"/>
        <v>0.34119449501932508</v>
      </c>
      <c r="T264" s="46">
        <f t="shared" ref="T264:AG264" si="1256">IFERROR(T249/S249-1,"n/a")</f>
        <v>-0.11896390467446827</v>
      </c>
      <c r="U264" s="46">
        <f t="shared" si="1256"/>
        <v>0.14973855809045289</v>
      </c>
      <c r="V264" s="46">
        <f t="shared" si="1256"/>
        <v>5.9145407987948317E-2</v>
      </c>
      <c r="W264" s="46">
        <f t="shared" si="1256"/>
        <v>0.17836817614149547</v>
      </c>
      <c r="X264" s="46">
        <f t="shared" si="1256"/>
        <v>-0.14001500795870447</v>
      </c>
      <c r="Y264" s="46">
        <f t="shared" si="1256"/>
        <v>0.10679944097455696</v>
      </c>
      <c r="Z264" s="46">
        <f t="shared" si="1256"/>
        <v>0.12300925532155671</v>
      </c>
      <c r="AA264" s="46">
        <f t="shared" si="1256"/>
        <v>0.11985591356797576</v>
      </c>
      <c r="AB264" s="46">
        <f t="shared" si="1256"/>
        <v>-9.176571235209896E-2</v>
      </c>
      <c r="AC264" s="46">
        <f t="shared" si="1256"/>
        <v>0.16680169556830826</v>
      </c>
      <c r="AD264" s="46">
        <f t="shared" si="1256"/>
        <v>8.1796775002641597E-2</v>
      </c>
      <c r="AE264" s="46">
        <f t="shared" si="1256"/>
        <v>0.16273827438872179</v>
      </c>
      <c r="AF264" s="46">
        <f t="shared" ref="AF264:AI264" si="1257">IFERROR(AF249/AE249-1,"n/a")</f>
        <v>-0.10249085129223467</v>
      </c>
      <c r="AG264" s="46">
        <f t="shared" si="1256"/>
        <v>0.11513852602482899</v>
      </c>
      <c r="AH264" s="46">
        <f t="shared" si="1257"/>
        <v>5.9759122030046186E-2</v>
      </c>
      <c r="AI264" s="46">
        <f t="shared" si="1257"/>
        <v>0.13074345188752567</v>
      </c>
      <c r="AJ264" s="46">
        <f t="shared" si="1242"/>
        <v>-0.1380373064038507</v>
      </c>
      <c r="AK264" s="46">
        <f t="shared" si="1243"/>
        <v>0.11632442629725426</v>
      </c>
      <c r="AL264" s="46">
        <f t="shared" si="1244"/>
        <v>6.7490473499691506E-2</v>
      </c>
      <c r="AM264" s="46">
        <f t="shared" si="1245"/>
        <v>0.13071283125601196</v>
      </c>
    </row>
    <row r="266" spans="2:50" x14ac:dyDescent="0.2">
      <c r="B266" s="19" t="s">
        <v>368</v>
      </c>
    </row>
    <row r="267" spans="2:50" x14ac:dyDescent="0.2">
      <c r="B267" s="20" t="s">
        <v>370</v>
      </c>
      <c r="D267" s="168">
        <v>0.6</v>
      </c>
      <c r="E267" s="168">
        <v>0.6</v>
      </c>
      <c r="F267" s="168">
        <v>0.6</v>
      </c>
      <c r="G267" s="168">
        <v>0.6</v>
      </c>
      <c r="H267" s="168">
        <v>0.6</v>
      </c>
      <c r="I267" s="168">
        <v>0.6</v>
      </c>
      <c r="J267" s="168">
        <v>0.6</v>
      </c>
      <c r="K267" s="168">
        <v>0.6</v>
      </c>
      <c r="L267" s="173">
        <f>+IFERROR(L245/L223,"n/a")</f>
        <v>0.59995263157894763</v>
      </c>
      <c r="M267" s="173">
        <f t="shared" ref="M267:AE268" si="1258">+IFERROR(M245/M223,"n/a")</f>
        <v>0.60003074873161466</v>
      </c>
      <c r="N267" s="173">
        <f t="shared" si="1258"/>
        <v>0.59999999999999987</v>
      </c>
      <c r="O267" s="173">
        <f t="shared" si="1258"/>
        <v>0.59999999999999987</v>
      </c>
      <c r="P267" s="173">
        <f t="shared" si="1258"/>
        <v>0.47140987631007458</v>
      </c>
      <c r="Q267" s="173">
        <f t="shared" si="1258"/>
        <v>0.71257253288984246</v>
      </c>
      <c r="R267" s="173">
        <f t="shared" si="1258"/>
        <v>0.60000000000000009</v>
      </c>
      <c r="S267" s="173">
        <f t="shared" si="1258"/>
        <v>0.6049885672287777</v>
      </c>
      <c r="T267" s="173">
        <f t="shared" si="1258"/>
        <v>0.60245827009289121</v>
      </c>
      <c r="U267" s="173">
        <f t="shared" si="1258"/>
        <v>0.60245824001565063</v>
      </c>
      <c r="V267" s="173">
        <f t="shared" si="1258"/>
        <v>0.60245778882781709</v>
      </c>
      <c r="W267" s="173">
        <f t="shared" si="1258"/>
        <v>0.60265612966716176</v>
      </c>
      <c r="X267" s="173">
        <f t="shared" si="1258"/>
        <v>0.59999990842392059</v>
      </c>
      <c r="Y267" s="173">
        <f t="shared" si="1258"/>
        <v>0.60000030756550371</v>
      </c>
      <c r="Z267" s="173">
        <f t="shared" si="1258"/>
        <v>0.60000031410828747</v>
      </c>
      <c r="AA267" s="173">
        <f t="shared" si="1258"/>
        <v>0.60030462137929952</v>
      </c>
      <c r="AB267" s="173">
        <f t="shared" si="1258"/>
        <v>0.60000031203917592</v>
      </c>
      <c r="AC267" s="173">
        <f t="shared" si="1258"/>
        <v>0.59999974318600813</v>
      </c>
      <c r="AD267" s="173">
        <f t="shared" si="1258"/>
        <v>0.59999974276647861</v>
      </c>
      <c r="AE267" s="173">
        <f t="shared" si="1258"/>
        <v>0.59999988234421342</v>
      </c>
      <c r="AF267" s="168">
        <v>0.6</v>
      </c>
      <c r="AG267" s="168">
        <v>0.6</v>
      </c>
      <c r="AH267" s="168">
        <v>0.59499999999999997</v>
      </c>
      <c r="AI267" s="168">
        <v>0.59499999999999997</v>
      </c>
      <c r="AJ267" s="168">
        <v>0.59499999999999997</v>
      </c>
      <c r="AK267" s="168">
        <v>0.59499999999999997</v>
      </c>
      <c r="AL267" s="168">
        <v>0.59499999999999997</v>
      </c>
      <c r="AM267" s="168">
        <v>0.59499999999999997</v>
      </c>
      <c r="AO267" s="168">
        <v>0.6</v>
      </c>
      <c r="AP267" s="173">
        <f>+IFERROR(AP245/AP223,"n/a")</f>
        <v>0.6</v>
      </c>
      <c r="AQ267" s="173">
        <f t="shared" ref="AQ267:AW271" si="1259">+IFERROR(AQ245/AQ223,"n/a")</f>
        <v>0.60000000000000009</v>
      </c>
      <c r="AR267" s="173">
        <f t="shared" si="1259"/>
        <v>0.6</v>
      </c>
      <c r="AS267" s="173">
        <f t="shared" si="1259"/>
        <v>0.6017288252513906</v>
      </c>
      <c r="AT267" s="173">
        <f t="shared" si="1259"/>
        <v>0.60251679784380152</v>
      </c>
      <c r="AU267" s="173">
        <f t="shared" si="1259"/>
        <v>0.60008974256882153</v>
      </c>
      <c r="AV267" s="173">
        <f t="shared" si="1259"/>
        <v>0.59999990405194548</v>
      </c>
      <c r="AW267" s="173">
        <f t="shared" si="1259"/>
        <v>0.59727055884043689</v>
      </c>
      <c r="AX267" s="173">
        <f t="shared" ref="AX267" si="1260">+IFERROR(AX245/AX223,"n/a")</f>
        <v>0.59499999999999986</v>
      </c>
    </row>
    <row r="268" spans="2:50" ht="13.5" x14ac:dyDescent="0.35">
      <c r="B268" s="20" t="s">
        <v>371</v>
      </c>
      <c r="D268" s="180" t="str">
        <f t="shared" ref="D268:Q268" si="1261">+IFERROR(D246/D224,"n/a")</f>
        <v>n/a</v>
      </c>
      <c r="E268" s="180" t="str">
        <f t="shared" si="1261"/>
        <v>n/a</v>
      </c>
      <c r="F268" s="180" t="str">
        <f t="shared" si="1261"/>
        <v>n/a</v>
      </c>
      <c r="G268" s="180" t="str">
        <f t="shared" si="1261"/>
        <v>n/a</v>
      </c>
      <c r="H268" s="180" t="str">
        <f t="shared" si="1261"/>
        <v>n/a</v>
      </c>
      <c r="I268" s="180" t="str">
        <f t="shared" si="1261"/>
        <v>n/a</v>
      </c>
      <c r="J268" s="180" t="str">
        <f t="shared" si="1261"/>
        <v>n/a</v>
      </c>
      <c r="K268" s="180" t="str">
        <f t="shared" si="1261"/>
        <v>n/a</v>
      </c>
      <c r="L268" s="180" t="str">
        <f t="shared" si="1261"/>
        <v>n/a</v>
      </c>
      <c r="M268" s="180" t="str">
        <f t="shared" si="1261"/>
        <v>n/a</v>
      </c>
      <c r="N268" s="180" t="str">
        <f t="shared" si="1261"/>
        <v>n/a</v>
      </c>
      <c r="O268" s="180" t="str">
        <f t="shared" si="1261"/>
        <v>n/a</v>
      </c>
      <c r="P268" s="180" t="str">
        <f t="shared" si="1261"/>
        <v>n/a</v>
      </c>
      <c r="Q268" s="180" t="str">
        <f t="shared" si="1261"/>
        <v>n/a</v>
      </c>
      <c r="R268" s="180" t="str">
        <f t="shared" si="1258"/>
        <v>n/a</v>
      </c>
      <c r="S268" s="169">
        <v>0.85</v>
      </c>
      <c r="T268" s="169">
        <v>0.85</v>
      </c>
      <c r="U268" s="169">
        <v>0.85</v>
      </c>
      <c r="V268" s="169">
        <v>0.85</v>
      </c>
      <c r="W268" s="169">
        <v>0.85</v>
      </c>
      <c r="X268" s="169">
        <v>0.85</v>
      </c>
      <c r="Y268" s="169">
        <v>0.85</v>
      </c>
      <c r="Z268" s="169">
        <v>0.85</v>
      </c>
      <c r="AA268" s="169">
        <v>0.85</v>
      </c>
      <c r="AB268" s="169">
        <v>0.85</v>
      </c>
      <c r="AC268" s="169">
        <v>0.85</v>
      </c>
      <c r="AD268" s="169">
        <v>0.85</v>
      </c>
      <c r="AE268" s="169">
        <v>0.85</v>
      </c>
      <c r="AF268" s="169">
        <v>0.85</v>
      </c>
      <c r="AG268" s="169">
        <v>0.85</v>
      </c>
      <c r="AH268" s="169">
        <v>0.85</v>
      </c>
      <c r="AI268" s="169">
        <v>0.85</v>
      </c>
      <c r="AJ268" s="169">
        <v>0.85</v>
      </c>
      <c r="AK268" s="169">
        <v>0.85</v>
      </c>
      <c r="AL268" s="169">
        <v>0.85</v>
      </c>
      <c r="AM268" s="169">
        <v>0.85</v>
      </c>
      <c r="AO268" s="180" t="str">
        <f>+IFERROR(AO246/AO224,"n/a")</f>
        <v>n/a</v>
      </c>
      <c r="AP268" s="180" t="str">
        <f>+IFERROR(AP246/AP224,"n/a")</f>
        <v>n/a</v>
      </c>
      <c r="AQ268" s="180" t="str">
        <f t="shared" si="1259"/>
        <v>n/a</v>
      </c>
      <c r="AR268" s="180" t="str">
        <f t="shared" si="1259"/>
        <v>n/a</v>
      </c>
      <c r="AS268" s="180">
        <f t="shared" si="1259"/>
        <v>0.85</v>
      </c>
      <c r="AT268" s="180">
        <f t="shared" si="1259"/>
        <v>0.85</v>
      </c>
      <c r="AU268" s="180">
        <f t="shared" si="1259"/>
        <v>0.85000000000000009</v>
      </c>
      <c r="AV268" s="180">
        <f t="shared" si="1259"/>
        <v>0.85000000000000009</v>
      </c>
      <c r="AW268" s="180">
        <f t="shared" si="1259"/>
        <v>0.84999999999999987</v>
      </c>
      <c r="AX268" s="180">
        <f t="shared" ref="AX268" si="1262">+IFERROR(AX246/AX224,"n/a")</f>
        <v>0.85</v>
      </c>
    </row>
    <row r="269" spans="2:50" x14ac:dyDescent="0.2">
      <c r="B269" s="30" t="s">
        <v>358</v>
      </c>
      <c r="D269" s="173">
        <f>+IFERROR(D247/D225,"n/a")</f>
        <v>0.6</v>
      </c>
      <c r="E269" s="173">
        <f t="shared" ref="E269:S269" si="1263">+IFERROR(E247/E225,"n/a")</f>
        <v>0.6</v>
      </c>
      <c r="F269" s="173">
        <f t="shared" si="1263"/>
        <v>0.6</v>
      </c>
      <c r="G269" s="173">
        <f t="shared" si="1263"/>
        <v>0.6</v>
      </c>
      <c r="H269" s="173">
        <f t="shared" si="1263"/>
        <v>0.6</v>
      </c>
      <c r="I269" s="173">
        <f t="shared" si="1263"/>
        <v>0.6</v>
      </c>
      <c r="J269" s="173">
        <f t="shared" si="1263"/>
        <v>0.6</v>
      </c>
      <c r="K269" s="173">
        <f t="shared" si="1263"/>
        <v>0.6</v>
      </c>
      <c r="L269" s="173">
        <f t="shared" si="1263"/>
        <v>0.59995263157894763</v>
      </c>
      <c r="M269" s="173">
        <f t="shared" si="1263"/>
        <v>0.60003074873161466</v>
      </c>
      <c r="N269" s="173">
        <f t="shared" si="1263"/>
        <v>0.59999999999999987</v>
      </c>
      <c r="O269" s="173">
        <f t="shared" si="1263"/>
        <v>0.59999999999999987</v>
      </c>
      <c r="P269" s="173">
        <f t="shared" si="1263"/>
        <v>0.47140987631007458</v>
      </c>
      <c r="Q269" s="173">
        <f t="shared" si="1263"/>
        <v>0.71257253288984246</v>
      </c>
      <c r="R269" s="173">
        <f t="shared" si="1263"/>
        <v>0.60000000000000009</v>
      </c>
      <c r="S269" s="173">
        <f t="shared" si="1263"/>
        <v>0.6070088632647791</v>
      </c>
      <c r="T269" s="173">
        <f t="shared" ref="T269:AE269" si="1264">+IFERROR(T247/T225,"n/a")</f>
        <v>0.60883840534289257</v>
      </c>
      <c r="U269" s="173">
        <f t="shared" si="1264"/>
        <v>0.60994718915202484</v>
      </c>
      <c r="V269" s="173">
        <f t="shared" si="1264"/>
        <v>0.61256832273628381</v>
      </c>
      <c r="W269" s="173">
        <f t="shared" si="1264"/>
        <v>0.61262202265094201</v>
      </c>
      <c r="X269" s="173">
        <f t="shared" si="1264"/>
        <v>0.61254029452682079</v>
      </c>
      <c r="Y269" s="173">
        <f t="shared" si="1264"/>
        <v>0.61355830913344067</v>
      </c>
      <c r="Z269" s="173">
        <f t="shared" si="1264"/>
        <v>0.61285045960085227</v>
      </c>
      <c r="AA269" s="173">
        <f t="shared" si="1264"/>
        <v>0.6121349044073916</v>
      </c>
      <c r="AB269" s="173">
        <f t="shared" si="1264"/>
        <v>0.61271959172619017</v>
      </c>
      <c r="AC269" s="173">
        <f t="shared" si="1264"/>
        <v>0.61253019079756033</v>
      </c>
      <c r="AD269" s="173">
        <f t="shared" si="1264"/>
        <v>0.61271014759472109</v>
      </c>
      <c r="AE269" s="173">
        <f t="shared" si="1264"/>
        <v>0.61096624207228456</v>
      </c>
      <c r="AF269" s="173">
        <f t="shared" ref="AF269:AI269" si="1265">+IFERROR(AF247/AF225,"n/a")</f>
        <v>0.61202460192421537</v>
      </c>
      <c r="AG269" s="173">
        <f t="shared" si="1265"/>
        <v>0.61192368224548699</v>
      </c>
      <c r="AH269" s="173">
        <f t="shared" si="1265"/>
        <v>0.60693478153592262</v>
      </c>
      <c r="AI269" s="173">
        <f t="shared" si="1265"/>
        <v>0.60542454484281505</v>
      </c>
      <c r="AJ269" s="173">
        <f t="shared" ref="AJ269:AM269" si="1266">+IFERROR(AJ247/AJ225,"n/a")</f>
        <v>0.60675641443451833</v>
      </c>
      <c r="AK269" s="173">
        <f t="shared" si="1266"/>
        <v>0.60665754055766186</v>
      </c>
      <c r="AL269" s="173">
        <f t="shared" si="1266"/>
        <v>0.60643915571029561</v>
      </c>
      <c r="AM269" s="173">
        <f t="shared" si="1266"/>
        <v>0.60498905847505602</v>
      </c>
      <c r="AO269" s="173" t="str">
        <f>+IFERROR(AO247/AO225,"n/a")</f>
        <v>n/a</v>
      </c>
      <c r="AP269" s="173">
        <f>+IFERROR(AP247/AP225,"n/a")</f>
        <v>0.6</v>
      </c>
      <c r="AQ269" s="173">
        <f t="shared" si="1259"/>
        <v>0.60000000000000009</v>
      </c>
      <c r="AR269" s="173">
        <f t="shared" si="1259"/>
        <v>0.6</v>
      </c>
      <c r="AS269" s="173">
        <f t="shared" si="1259"/>
        <v>0.60244213240585265</v>
      </c>
      <c r="AT269" s="173">
        <f t="shared" si="1259"/>
        <v>0.61117589046284737</v>
      </c>
      <c r="AU269" s="173">
        <f t="shared" si="1259"/>
        <v>0.61274035604288624</v>
      </c>
      <c r="AV269" s="173">
        <f t="shared" si="1259"/>
        <v>0.6121586452569433</v>
      </c>
      <c r="AW269" s="173">
        <f t="shared" si="1259"/>
        <v>0.60878987569437437</v>
      </c>
      <c r="AX269" s="173">
        <f t="shared" ref="AX269" si="1267">+IFERROR(AX247/AX225,"n/a")</f>
        <v>0.60613954412066517</v>
      </c>
    </row>
    <row r="270" spans="2:50" ht="13.5" x14ac:dyDescent="0.35">
      <c r="B270" s="20" t="s">
        <v>372</v>
      </c>
      <c r="D270" s="180" t="str">
        <f t="shared" ref="D270:Y270" si="1268">+IFERROR(D248/D226,"n/a")</f>
        <v>n/a</v>
      </c>
      <c r="E270" s="180" t="str">
        <f t="shared" si="1268"/>
        <v>n/a</v>
      </c>
      <c r="F270" s="180" t="str">
        <f t="shared" si="1268"/>
        <v>n/a</v>
      </c>
      <c r="G270" s="180" t="str">
        <f t="shared" si="1268"/>
        <v>n/a</v>
      </c>
      <c r="H270" s="180" t="str">
        <f t="shared" si="1268"/>
        <v>n/a</v>
      </c>
      <c r="I270" s="180" t="str">
        <f t="shared" si="1268"/>
        <v>n/a</v>
      </c>
      <c r="J270" s="180" t="str">
        <f t="shared" si="1268"/>
        <v>n/a</v>
      </c>
      <c r="K270" s="180" t="str">
        <f t="shared" si="1268"/>
        <v>n/a</v>
      </c>
      <c r="L270" s="180" t="str">
        <f t="shared" si="1268"/>
        <v>n/a</v>
      </c>
      <c r="M270" s="180" t="str">
        <f t="shared" si="1268"/>
        <v>n/a</v>
      </c>
      <c r="N270" s="180" t="str">
        <f t="shared" si="1268"/>
        <v>n/a</v>
      </c>
      <c r="O270" s="180" t="str">
        <f t="shared" si="1268"/>
        <v>n/a</v>
      </c>
      <c r="P270" s="180" t="str">
        <f t="shared" si="1268"/>
        <v>n/a</v>
      </c>
      <c r="Q270" s="180" t="str">
        <f t="shared" si="1268"/>
        <v>n/a</v>
      </c>
      <c r="R270" s="180" t="str">
        <f t="shared" si="1268"/>
        <v>n/a</v>
      </c>
      <c r="S270" s="180" t="str">
        <f t="shared" si="1268"/>
        <v>n/a</v>
      </c>
      <c r="T270" s="180" t="str">
        <f t="shared" si="1268"/>
        <v>n/a</v>
      </c>
      <c r="U270" s="180" t="str">
        <f t="shared" si="1268"/>
        <v>n/a</v>
      </c>
      <c r="V270" s="180" t="str">
        <f t="shared" si="1268"/>
        <v>n/a</v>
      </c>
      <c r="W270" s="180" t="str">
        <f t="shared" si="1268"/>
        <v>n/a</v>
      </c>
      <c r="X270" s="180" t="str">
        <f t="shared" si="1268"/>
        <v>n/a</v>
      </c>
      <c r="Y270" s="180" t="str">
        <f t="shared" si="1268"/>
        <v>n/a</v>
      </c>
      <c r="Z270" s="180">
        <f>+IFERROR(Z248/Z226,"n/a")</f>
        <v>0.83143845538135153</v>
      </c>
      <c r="AA270" s="180">
        <f t="shared" ref="AA270:AG270" si="1269">+IFERROR(AA248/AA226,"n/a")</f>
        <v>0.80712529034317981</v>
      </c>
      <c r="AB270" s="180">
        <f t="shared" si="1269"/>
        <v>0.85259205447663566</v>
      </c>
      <c r="AC270" s="180">
        <f t="shared" si="1269"/>
        <v>0.84474428521629608</v>
      </c>
      <c r="AD270" s="180">
        <f t="shared" si="1269"/>
        <v>0.82745244714588295</v>
      </c>
      <c r="AE270" s="180">
        <f t="shared" si="1269"/>
        <v>0.84999999999999987</v>
      </c>
      <c r="AF270" s="180">
        <f t="shared" si="1269"/>
        <v>0.85</v>
      </c>
      <c r="AG270" s="180">
        <f t="shared" si="1269"/>
        <v>0.85</v>
      </c>
      <c r="AH270" s="169">
        <v>0.85</v>
      </c>
      <c r="AI270" s="169">
        <v>0.85</v>
      </c>
      <c r="AJ270" s="169">
        <v>0.85</v>
      </c>
      <c r="AK270" s="169">
        <v>0.85</v>
      </c>
      <c r="AL270" s="169">
        <v>0.85</v>
      </c>
      <c r="AM270" s="169">
        <v>0.85</v>
      </c>
      <c r="AO270" s="180" t="str">
        <f>+IFERROR(AO248/AO226,"n/a")</f>
        <v>n/a</v>
      </c>
      <c r="AP270" s="180" t="str">
        <f>+IFERROR(AP248/AP226,"n/a")</f>
        <v>n/a</v>
      </c>
      <c r="AQ270" s="180" t="str">
        <f t="shared" si="1259"/>
        <v>n/a</v>
      </c>
      <c r="AR270" s="180" t="str">
        <f t="shared" si="1259"/>
        <v>n/a</v>
      </c>
      <c r="AS270" s="180" t="str">
        <f t="shared" si="1259"/>
        <v>n/a</v>
      </c>
      <c r="AT270" s="180" t="str">
        <f t="shared" si="1259"/>
        <v>n/a</v>
      </c>
      <c r="AU270" s="180">
        <f t="shared" si="1259"/>
        <v>0.80742763573715903</v>
      </c>
      <c r="AV270" s="180">
        <f t="shared" si="1259"/>
        <v>0.84170636568076174</v>
      </c>
      <c r="AW270" s="180">
        <f t="shared" si="1259"/>
        <v>0.85</v>
      </c>
      <c r="AX270" s="180">
        <f t="shared" ref="AX270" si="1270">+IFERROR(AX248/AX226,"n/a")</f>
        <v>0.85</v>
      </c>
    </row>
    <row r="271" spans="2:50" x14ac:dyDescent="0.2">
      <c r="B271" s="30" t="s">
        <v>396</v>
      </c>
      <c r="D271" s="173">
        <f>+IFERROR(D249/D227,"n/a")</f>
        <v>0.6</v>
      </c>
      <c r="E271" s="173">
        <f t="shared" ref="E271:S271" si="1271">+IFERROR(E249/E227,"n/a")</f>
        <v>0.6</v>
      </c>
      <c r="F271" s="173">
        <f t="shared" si="1271"/>
        <v>0.6</v>
      </c>
      <c r="G271" s="173">
        <f t="shared" si="1271"/>
        <v>0.6</v>
      </c>
      <c r="H271" s="173">
        <f t="shared" si="1271"/>
        <v>0.6</v>
      </c>
      <c r="I271" s="173">
        <f t="shared" si="1271"/>
        <v>0.6</v>
      </c>
      <c r="J271" s="173">
        <f t="shared" si="1271"/>
        <v>0.6</v>
      </c>
      <c r="K271" s="173">
        <f t="shared" si="1271"/>
        <v>0.6</v>
      </c>
      <c r="L271" s="173">
        <f t="shared" si="1271"/>
        <v>0.59995263157894763</v>
      </c>
      <c r="M271" s="173">
        <f t="shared" si="1271"/>
        <v>0.60003074873161466</v>
      </c>
      <c r="N271" s="173">
        <f t="shared" si="1271"/>
        <v>0.59999999999999987</v>
      </c>
      <c r="O271" s="173">
        <f t="shared" si="1271"/>
        <v>0.59999999999999987</v>
      </c>
      <c r="P271" s="173">
        <f t="shared" si="1271"/>
        <v>0.47140987631007458</v>
      </c>
      <c r="Q271" s="173">
        <f t="shared" si="1271"/>
        <v>0.71257253288984246</v>
      </c>
      <c r="R271" s="173">
        <f t="shared" si="1271"/>
        <v>0.60000000000000009</v>
      </c>
      <c r="S271" s="173">
        <f t="shared" si="1271"/>
        <v>0.6070088632647791</v>
      </c>
      <c r="T271" s="173">
        <f t="shared" ref="T271:AE271" si="1272">+IFERROR(T249/T227,"n/a")</f>
        <v>0.60883840534289257</v>
      </c>
      <c r="U271" s="173">
        <f t="shared" si="1272"/>
        <v>0.60994718915202484</v>
      </c>
      <c r="V271" s="173">
        <f t="shared" si="1272"/>
        <v>0.61256832273628381</v>
      </c>
      <c r="W271" s="173">
        <f t="shared" si="1272"/>
        <v>0.61262202265094201</v>
      </c>
      <c r="X271" s="173">
        <f t="shared" si="1272"/>
        <v>0.61254029452682079</v>
      </c>
      <c r="Y271" s="173">
        <f t="shared" si="1272"/>
        <v>0.61355830913344067</v>
      </c>
      <c r="Z271" s="173">
        <f t="shared" si="1272"/>
        <v>0.61285816190061249</v>
      </c>
      <c r="AA271" s="173">
        <f t="shared" si="1272"/>
        <v>0.61262196318768192</v>
      </c>
      <c r="AB271" s="173">
        <f t="shared" si="1272"/>
        <v>0.61448124205720378</v>
      </c>
      <c r="AC271" s="173">
        <f t="shared" si="1272"/>
        <v>0.61769245885490243</v>
      </c>
      <c r="AD271" s="173">
        <f t="shared" si="1272"/>
        <v>0.62212496785246252</v>
      </c>
      <c r="AE271" s="173">
        <f t="shared" si="1272"/>
        <v>0.62333251976722848</v>
      </c>
      <c r="AF271" s="173">
        <f t="shared" ref="AF271:AI271" si="1273">+IFERROR(AF249/AF227,"n/a")</f>
        <v>0.62729855048459726</v>
      </c>
      <c r="AG271" s="173">
        <f t="shared" si="1273"/>
        <v>0.62854137289622403</v>
      </c>
      <c r="AH271" s="173">
        <f t="shared" si="1273"/>
        <v>0.62410263628228779</v>
      </c>
      <c r="AI271" s="173">
        <f t="shared" si="1273"/>
        <v>0.62217756124864254</v>
      </c>
      <c r="AJ271" s="173">
        <f t="shared" ref="AJ271:AM271" si="1274">+IFERROR(AJ249/AJ227,"n/a")</f>
        <v>0.62429236096638197</v>
      </c>
      <c r="AK271" s="173">
        <f t="shared" si="1274"/>
        <v>0.62572148546294493</v>
      </c>
      <c r="AL271" s="173">
        <f t="shared" si="1274"/>
        <v>0.62574452392751434</v>
      </c>
      <c r="AM271" s="173">
        <f t="shared" si="1274"/>
        <v>0.62382387512899462</v>
      </c>
      <c r="AO271" s="173" t="str">
        <f>+IFERROR(AO249/AO227,"n/a")</f>
        <v>n/a</v>
      </c>
      <c r="AP271" s="173">
        <f>+IFERROR(AP249/AP227,"n/a")</f>
        <v>0.6</v>
      </c>
      <c r="AQ271" s="173">
        <f t="shared" si="1259"/>
        <v>0.60000000000000009</v>
      </c>
      <c r="AR271" s="173">
        <f t="shared" si="1259"/>
        <v>0.6</v>
      </c>
      <c r="AS271" s="173">
        <f t="shared" si="1259"/>
        <v>0.60244213240585265</v>
      </c>
      <c r="AT271" s="173">
        <f t="shared" si="1259"/>
        <v>0.61117589046284737</v>
      </c>
      <c r="AU271" s="173">
        <f t="shared" si="1259"/>
        <v>0.61288496997659803</v>
      </c>
      <c r="AV271" s="173">
        <f t="shared" si="1259"/>
        <v>0.61985036138359217</v>
      </c>
      <c r="AW271" s="173">
        <f t="shared" si="1259"/>
        <v>0.625295029890099</v>
      </c>
      <c r="AX271" s="173">
        <f t="shared" ref="AX271" si="1275">+IFERROR(AX249/AX227,"n/a")</f>
        <v>0.6248699581369862</v>
      </c>
    </row>
    <row r="272" spans="2:50" x14ac:dyDescent="0.2">
      <c r="B272" s="30"/>
      <c r="D272" s="173"/>
      <c r="E272" s="173"/>
      <c r="F272" s="173"/>
      <c r="G272" s="173"/>
      <c r="H272" s="173"/>
      <c r="I272" s="173"/>
      <c r="J272" s="173"/>
      <c r="K272" s="173"/>
      <c r="L272" s="173"/>
      <c r="M272" s="173"/>
      <c r="N272" s="173"/>
      <c r="O272" s="173"/>
      <c r="P272" s="173"/>
      <c r="Q272" s="173"/>
      <c r="R272" s="173"/>
      <c r="S272" s="173"/>
      <c r="T272" s="173"/>
      <c r="U272" s="173"/>
      <c r="V272" s="173"/>
      <c r="W272" s="173"/>
      <c r="X272" s="173"/>
      <c r="Y272" s="173"/>
      <c r="Z272" s="173"/>
      <c r="AA272" s="173"/>
      <c r="AB272" s="173"/>
      <c r="AC272" s="173"/>
      <c r="AD272" s="173"/>
      <c r="AE272" s="173"/>
      <c r="AO272" s="173"/>
      <c r="AP272" s="173"/>
      <c r="AQ272" s="173"/>
      <c r="AR272" s="173"/>
      <c r="AS272" s="173"/>
      <c r="AT272" s="173"/>
      <c r="AU272" s="173"/>
      <c r="AV272" s="173"/>
      <c r="AW272" s="173"/>
      <c r="AX272" s="173"/>
    </row>
    <row r="273" spans="2:50" x14ac:dyDescent="0.2">
      <c r="B273" s="6" t="s">
        <v>385</v>
      </c>
      <c r="C273" s="5"/>
      <c r="D273" s="173"/>
      <c r="E273" s="173"/>
      <c r="F273" s="173"/>
      <c r="G273" s="173"/>
      <c r="H273" s="173"/>
      <c r="I273" s="173"/>
      <c r="J273" s="173"/>
      <c r="K273" s="173"/>
      <c r="L273" s="173"/>
      <c r="M273" s="173"/>
      <c r="N273" s="173"/>
      <c r="O273" s="173"/>
      <c r="P273" s="173"/>
      <c r="Q273" s="173"/>
      <c r="R273" s="173"/>
      <c r="S273" s="173"/>
      <c r="T273" s="173"/>
      <c r="U273" s="173"/>
      <c r="V273" s="173"/>
      <c r="W273" s="173"/>
      <c r="X273" s="173"/>
      <c r="Y273" s="173"/>
      <c r="Z273" s="173"/>
      <c r="AA273" s="173"/>
      <c r="AB273" s="173"/>
      <c r="AC273" s="173"/>
      <c r="AD273" s="173"/>
      <c r="AE273" s="173"/>
      <c r="AO273" s="173"/>
      <c r="AP273" s="173"/>
      <c r="AQ273" s="173"/>
      <c r="AR273" s="173"/>
      <c r="AS273" s="173"/>
      <c r="AT273" s="173"/>
      <c r="AU273" s="173"/>
      <c r="AV273" s="173"/>
      <c r="AW273" s="173"/>
      <c r="AX273" s="173"/>
    </row>
    <row r="274" spans="2:50" x14ac:dyDescent="0.2">
      <c r="AG274" s="226"/>
      <c r="AH274" s="226"/>
    </row>
    <row r="275" spans="2:50" x14ac:dyDescent="0.2">
      <c r="B275" s="24" t="s">
        <v>370</v>
      </c>
      <c r="AG275" s="226"/>
      <c r="AH275" s="226"/>
      <c r="AI275" s="226"/>
      <c r="AJ275" s="226"/>
      <c r="AK275" s="226"/>
      <c r="AL275" s="226"/>
      <c r="AM275" s="226"/>
    </row>
    <row r="276" spans="2:50" x14ac:dyDescent="0.2">
      <c r="B276" s="184" t="s">
        <v>225</v>
      </c>
      <c r="H276" s="186">
        <f t="shared" ref="H276:AE276" si="1276">+IFERROR(H149/((H$223*1000-H$203)),"n/a")</f>
        <v>1.6738670694864045E-2</v>
      </c>
      <c r="I276" s="186">
        <f t="shared" si="1276"/>
        <v>2.8754147666634325E-2</v>
      </c>
      <c r="J276" s="186">
        <f t="shared" si="1276"/>
        <v>2.5141976769743186E-2</v>
      </c>
      <c r="K276" s="186">
        <f t="shared" si="1276"/>
        <v>2.4736760322501827E-2</v>
      </c>
      <c r="L276" s="186">
        <f t="shared" si="1276"/>
        <v>2.5976407894736854E-2</v>
      </c>
      <c r="M276" s="186">
        <f t="shared" si="1276"/>
        <v>2.7618651668118683E-2</v>
      </c>
      <c r="N276" s="186">
        <f t="shared" si="1276"/>
        <v>2.6911052390995772E-2</v>
      </c>
      <c r="O276" s="186">
        <f t="shared" si="1276"/>
        <v>2.6106182455194714E-2</v>
      </c>
      <c r="P276" s="186">
        <f t="shared" si="1276"/>
        <v>1.8150264375413096E-2</v>
      </c>
      <c r="Q276" s="186">
        <f t="shared" si="1276"/>
        <v>3.1981791144953357E-2</v>
      </c>
      <c r="R276" s="186">
        <f t="shared" si="1276"/>
        <v>2.8510624376534566E-2</v>
      </c>
      <c r="S276" s="186">
        <f t="shared" si="1276"/>
        <v>3.3144057978876623E-2</v>
      </c>
      <c r="T276" s="186">
        <f t="shared" si="1276"/>
        <v>2.8675538501868381E-2</v>
      </c>
      <c r="U276" s="186">
        <f t="shared" si="1276"/>
        <v>3.1940433484475748E-2</v>
      </c>
      <c r="V276" s="186">
        <f t="shared" si="1276"/>
        <v>3.0293403961665629E-2</v>
      </c>
      <c r="W276" s="186">
        <f t="shared" si="1276"/>
        <v>3.2106920689770155E-2</v>
      </c>
      <c r="X276" s="186">
        <f t="shared" si="1276"/>
        <v>3.0539808862036406E-2</v>
      </c>
      <c r="Y276" s="186">
        <f t="shared" si="1276"/>
        <v>3.8480096000250943E-2</v>
      </c>
      <c r="Z276" s="186">
        <f t="shared" si="1276"/>
        <v>3.8534960847395702E-2</v>
      </c>
      <c r="AA276" s="186">
        <f t="shared" si="1276"/>
        <v>3.7404147306734893E-2</v>
      </c>
      <c r="AB276" s="186">
        <f t="shared" si="1276"/>
        <v>3.6654225448752964E-2</v>
      </c>
      <c r="AC276" s="186">
        <f t="shared" si="1276"/>
        <v>4.4601043866373813E-2</v>
      </c>
      <c r="AD276" s="186">
        <f t="shared" si="1276"/>
        <v>4.4461211512867506E-2</v>
      </c>
      <c r="AE276" s="186">
        <f t="shared" si="1276"/>
        <v>4.7034490555536233E-2</v>
      </c>
      <c r="AF276" s="186">
        <f t="shared" ref="AF276:AG276" si="1277">+IFERROR(AF149/((AF$223*1000-AF$203)),"n/a")</f>
        <v>4.6819644738239144E-2</v>
      </c>
      <c r="AG276" s="186">
        <f t="shared" si="1277"/>
        <v>4.8940631133787618E-2</v>
      </c>
      <c r="AH276" s="186">
        <f t="shared" ref="AH276" si="1278">+IFERROR(AH149/((AH$223*1000-AH$203)),"n/a")</f>
        <v>4.6072365070047215E-2</v>
      </c>
      <c r="AI276" s="186">
        <f t="shared" ref="AI276" si="1279">+AH276*(1+AI290)</f>
        <v>4.6072365070047215E-2</v>
      </c>
      <c r="AJ276" s="186">
        <f t="shared" ref="AJ276:AJ277" si="1280">+AI276*(1+AJ290)</f>
        <v>4.4920555943296032E-2</v>
      </c>
      <c r="AK276" s="186">
        <f t="shared" ref="AK276:AK277" si="1281">+AJ276*(1+AK290)</f>
        <v>4.6447854845368099E-2</v>
      </c>
      <c r="AL276" s="186">
        <f t="shared" ref="AL276:AL277" si="1282">+AK276*(1+AL290)</f>
        <v>4.6447854845368099E-2</v>
      </c>
      <c r="AM276" s="186">
        <f t="shared" ref="AM276:AM277" si="1283">+AL276*(1+AM290)</f>
        <v>4.6447854845368099E-2</v>
      </c>
      <c r="AO276" s="186" t="str">
        <f t="shared" ref="AO276:AW276" si="1284">+IFERROR(AO149/((AO$223*1000-AO$203)),"n/a")</f>
        <v>n/a</v>
      </c>
      <c r="AP276" s="186">
        <f t="shared" si="1284"/>
        <v>8.5615047235271698E-3</v>
      </c>
      <c r="AQ276" s="186">
        <f t="shared" si="1284"/>
        <v>2.4418097964376592E-2</v>
      </c>
      <c r="AR276" s="186">
        <f t="shared" si="1284"/>
        <v>2.663783131333201E-2</v>
      </c>
      <c r="AS276" s="186">
        <f t="shared" si="1284"/>
        <v>2.8939104476690264E-2</v>
      </c>
      <c r="AT276" s="186">
        <f t="shared" si="1284"/>
        <v>3.0890586534752129E-2</v>
      </c>
      <c r="AU276" s="186">
        <f t="shared" si="1284"/>
        <v>3.6500395037420925E-2</v>
      </c>
      <c r="AV276" s="186">
        <f t="shared" si="1284"/>
        <v>4.3603347000626486E-2</v>
      </c>
      <c r="AW276" s="186">
        <f t="shared" si="1284"/>
        <v>4.691769207058144E-2</v>
      </c>
      <c r="AX276" s="186">
        <f t="shared" ref="AX276" si="1285">+IFERROR(AX149/((AX$223*1000-AX$203)),"n/a")</f>
        <v>4.6118639982408546E-2</v>
      </c>
    </row>
    <row r="277" spans="2:50" ht="13.5" x14ac:dyDescent="0.35">
      <c r="B277" s="184" t="s">
        <v>226</v>
      </c>
      <c r="H277" s="187">
        <f t="shared" ref="H277:AE277" si="1286">+IFERROR(H150/((H$223*1000-H$203)),"n/a")</f>
        <v>4.1767975830815712E-3</v>
      </c>
      <c r="I277" s="187">
        <f t="shared" si="1286"/>
        <v>4.1002959153973017E-3</v>
      </c>
      <c r="J277" s="187">
        <f t="shared" si="1286"/>
        <v>3.3668064314335477E-3</v>
      </c>
      <c r="K277" s="187">
        <f t="shared" si="1286"/>
        <v>2.8905155142926946E-3</v>
      </c>
      <c r="L277" s="187">
        <f t="shared" si="1286"/>
        <v>3.9262500000000009E-3</v>
      </c>
      <c r="M277" s="187">
        <f t="shared" si="1286"/>
        <v>3.5144732571448082E-3</v>
      </c>
      <c r="N277" s="187">
        <f t="shared" si="1286"/>
        <v>3.2177718790347806E-3</v>
      </c>
      <c r="O277" s="187">
        <f t="shared" si="1286"/>
        <v>2.9808031262633064E-3</v>
      </c>
      <c r="P277" s="187">
        <f t="shared" si="1286"/>
        <v>3.4659253139458042E-3</v>
      </c>
      <c r="Q277" s="187">
        <f t="shared" si="1286"/>
        <v>3.2940756127479336E-3</v>
      </c>
      <c r="R277" s="187">
        <f t="shared" si="1286"/>
        <v>3.0420653492738499E-3</v>
      </c>
      <c r="S277" s="187">
        <f t="shared" si="1286"/>
        <v>2.9653896193203885E-3</v>
      </c>
      <c r="T277" s="187">
        <f t="shared" si="1286"/>
        <v>2.7492056424391672E-3</v>
      </c>
      <c r="U277" s="187">
        <f t="shared" si="1286"/>
        <v>1.5566199797954635E-3</v>
      </c>
      <c r="V277" s="187">
        <f t="shared" si="1286"/>
        <v>7.5871105841135E-4</v>
      </c>
      <c r="W277" s="187">
        <f t="shared" si="1286"/>
        <v>1.7252658227096974E-3</v>
      </c>
      <c r="X277" s="187">
        <f t="shared" si="1286"/>
        <v>3.3302615740929842E-3</v>
      </c>
      <c r="Y277" s="187">
        <f t="shared" si="1286"/>
        <v>3.4236796348686579E-3</v>
      </c>
      <c r="Z277" s="187">
        <f t="shared" si="1286"/>
        <v>3.5045630742639457E-3</v>
      </c>
      <c r="AA277" s="187">
        <f t="shared" si="1286"/>
        <v>4.1811292499055368E-3</v>
      </c>
      <c r="AB277" s="187">
        <f t="shared" si="1286"/>
        <v>4.7431131519545576E-3</v>
      </c>
      <c r="AC277" s="187">
        <f t="shared" si="1286"/>
        <v>4.8501553422872238E-3</v>
      </c>
      <c r="AD277" s="187">
        <f t="shared" si="1286"/>
        <v>4.3326678299962593E-3</v>
      </c>
      <c r="AE277" s="187">
        <f t="shared" si="1286"/>
        <v>6.9794159528284482E-3</v>
      </c>
      <c r="AF277" s="187">
        <f t="shared" ref="AF277:AG277" si="1287">+IFERROR(AF150/((AF$223*1000-AF$203)),"n/a")</f>
        <v>6.0678760109445107E-3</v>
      </c>
      <c r="AG277" s="187">
        <f t="shared" si="1287"/>
        <v>5.5533343802923541E-3</v>
      </c>
      <c r="AH277" s="187">
        <f t="shared" ref="AH277" si="1288">+IFERROR(AH150/((AH$223*1000-AH$203)),"n/a")</f>
        <v>4.1741888021861184E-3</v>
      </c>
      <c r="AI277" s="187">
        <f>+AH277*(1+AI291)</f>
        <v>3.3393510417488951E-3</v>
      </c>
      <c r="AJ277" s="187">
        <f t="shared" si="1280"/>
        <v>3.3393510417488951E-3</v>
      </c>
      <c r="AK277" s="187">
        <f t="shared" si="1281"/>
        <v>3.3393510417488951E-3</v>
      </c>
      <c r="AL277" s="187">
        <f t="shared" si="1282"/>
        <v>3.3393510417488951E-3</v>
      </c>
      <c r="AM277" s="187">
        <f t="shared" si="1283"/>
        <v>3.3393510417488951E-3</v>
      </c>
      <c r="AO277" s="187" t="str">
        <f t="shared" ref="AO277:AW277" si="1289">+IFERROR(AO150/((AO$223*1000-AO$203)),"n/a")</f>
        <v>n/a</v>
      </c>
      <c r="AP277" s="187">
        <f t="shared" si="1289"/>
        <v>3.7623539675904283E-3</v>
      </c>
      <c r="AQ277" s="187">
        <f t="shared" si="1289"/>
        <v>3.4020674300254453E-3</v>
      </c>
      <c r="AR277" s="187">
        <f t="shared" si="1289"/>
        <v>3.3064226107689249E-3</v>
      </c>
      <c r="AS277" s="187">
        <f t="shared" si="1289"/>
        <v>3.1456191296442104E-3</v>
      </c>
      <c r="AT277" s="187">
        <f t="shared" si="1289"/>
        <v>1.6553719845750863E-3</v>
      </c>
      <c r="AU277" s="187">
        <f t="shared" si="1289"/>
        <v>3.6479574112719465E-3</v>
      </c>
      <c r="AV277" s="187">
        <f t="shared" si="1289"/>
        <v>5.3221581001955285E-3</v>
      </c>
      <c r="AW277" s="187">
        <f t="shared" si="1289"/>
        <v>4.668227136190692E-3</v>
      </c>
      <c r="AX277" s="187">
        <f t="shared" ref="AX277" si="1290">+IFERROR(AX150/((AX$223*1000-AX$203)),"n/a")</f>
        <v>3.3393510417488951E-3</v>
      </c>
    </row>
    <row r="278" spans="2:50" x14ac:dyDescent="0.2">
      <c r="B278" s="4" t="s">
        <v>223</v>
      </c>
      <c r="H278" s="186">
        <f t="shared" ref="H278:AE278" si="1291">+IFERROR(H151/((H$223*1000-H$203)),"n/a")</f>
        <v>2.0915468277945617E-2</v>
      </c>
      <c r="I278" s="186">
        <f t="shared" si="1291"/>
        <v>3.2854443582031628E-2</v>
      </c>
      <c r="J278" s="186">
        <f t="shared" si="1291"/>
        <v>2.8508783201176734E-2</v>
      </c>
      <c r="K278" s="186">
        <f t="shared" si="1291"/>
        <v>2.7627275836794522E-2</v>
      </c>
      <c r="L278" s="186">
        <f t="shared" si="1291"/>
        <v>2.9902657894736853E-2</v>
      </c>
      <c r="M278" s="186">
        <f t="shared" si="1291"/>
        <v>3.1133124925263492E-2</v>
      </c>
      <c r="N278" s="186">
        <f t="shared" si="1291"/>
        <v>3.0128824270030555E-2</v>
      </c>
      <c r="O278" s="186">
        <f t="shared" si="1291"/>
        <v>2.908698558145802E-2</v>
      </c>
      <c r="P278" s="186">
        <f t="shared" si="1291"/>
        <v>2.1616189689358897E-2</v>
      </c>
      <c r="Q278" s="186">
        <f t="shared" si="1291"/>
        <v>3.5275866757701294E-2</v>
      </c>
      <c r="R278" s="186">
        <f t="shared" si="1291"/>
        <v>3.1552689725808415E-2</v>
      </c>
      <c r="S278" s="186">
        <f t="shared" si="1291"/>
        <v>3.6109447598197016E-2</v>
      </c>
      <c r="T278" s="186">
        <f t="shared" si="1291"/>
        <v>3.1424744144307543E-2</v>
      </c>
      <c r="U278" s="186">
        <f t="shared" si="1291"/>
        <v>3.3497053464271211E-2</v>
      </c>
      <c r="V278" s="186">
        <f t="shared" si="1291"/>
        <v>3.105211502007698E-2</v>
      </c>
      <c r="W278" s="186">
        <f t="shared" si="1291"/>
        <v>3.3832186512479857E-2</v>
      </c>
      <c r="X278" s="186">
        <f t="shared" si="1291"/>
        <v>3.3870070436129392E-2</v>
      </c>
      <c r="Y278" s="186">
        <f t="shared" si="1291"/>
        <v>4.19037756351196E-2</v>
      </c>
      <c r="Z278" s="186">
        <f t="shared" si="1291"/>
        <v>4.2039523921659647E-2</v>
      </c>
      <c r="AA278" s="186">
        <f t="shared" si="1291"/>
        <v>4.1585276556640426E-2</v>
      </c>
      <c r="AB278" s="186">
        <f t="shared" si="1291"/>
        <v>4.1397338600707517E-2</v>
      </c>
      <c r="AC278" s="186">
        <f t="shared" si="1291"/>
        <v>4.9451199208661041E-2</v>
      </c>
      <c r="AD278" s="186">
        <f t="shared" si="1291"/>
        <v>4.8793879342863763E-2</v>
      </c>
      <c r="AE278" s="186">
        <f t="shared" si="1291"/>
        <v>5.4013906508364677E-2</v>
      </c>
      <c r="AF278" s="186">
        <f t="shared" ref="AF278:AM278" si="1292">+IFERROR(AF151/((AF$223*1000-AF$203)),"n/a")</f>
        <v>5.288752074918366E-2</v>
      </c>
      <c r="AG278" s="186">
        <f t="shared" si="1292"/>
        <v>5.4493965514079971E-2</v>
      </c>
      <c r="AH278" s="186">
        <f t="shared" ref="AH278" si="1293">+IFERROR(AH151/((AH$223*1000-AH$203)),"n/a")</f>
        <v>5.0246553872233334E-2</v>
      </c>
      <c r="AI278" s="186">
        <f t="shared" si="1292"/>
        <v>4.9411716111796115E-2</v>
      </c>
      <c r="AJ278" s="186">
        <f t="shared" si="1292"/>
        <v>4.8259906985044933E-2</v>
      </c>
      <c r="AK278" s="186">
        <f t="shared" si="1292"/>
        <v>4.9787205887116992E-2</v>
      </c>
      <c r="AL278" s="186">
        <f t="shared" si="1292"/>
        <v>4.9787205887116992E-2</v>
      </c>
      <c r="AM278" s="186">
        <f t="shared" si="1292"/>
        <v>4.9787205887116992E-2</v>
      </c>
      <c r="AO278" s="186" t="str">
        <f t="shared" ref="AO278:AW278" si="1294">+IFERROR(AO151/((AO$223*1000-AO$203)),"n/a")</f>
        <v>n/a</v>
      </c>
      <c r="AP278" s="186">
        <f t="shared" si="1294"/>
        <v>1.2323858691117599E-2</v>
      </c>
      <c r="AQ278" s="186">
        <f t="shared" si="1294"/>
        <v>2.7820165394402036E-2</v>
      </c>
      <c r="AR278" s="186">
        <f t="shared" si="1294"/>
        <v>2.9944253924100932E-2</v>
      </c>
      <c r="AS278" s="186">
        <f t="shared" si="1294"/>
        <v>3.2084723606334471E-2</v>
      </c>
      <c r="AT278" s="186">
        <f t="shared" si="1294"/>
        <v>3.254595851932722E-2</v>
      </c>
      <c r="AU278" s="186">
        <f t="shared" si="1294"/>
        <v>4.0148352448692873E-2</v>
      </c>
      <c r="AV278" s="186">
        <f t="shared" si="1294"/>
        <v>4.8925505100821998E-2</v>
      </c>
      <c r="AW278" s="186">
        <f t="shared" si="1294"/>
        <v>5.1585919206772135E-2</v>
      </c>
      <c r="AX278" s="186">
        <f t="shared" ref="AX278" si="1295">+IFERROR(AX151/((AX$223*1000-AX$203)),"n/a")</f>
        <v>4.9457991024157447E-2</v>
      </c>
    </row>
    <row r="279" spans="2:50" ht="13.5" x14ac:dyDescent="0.35">
      <c r="B279" s="184" t="s">
        <v>222</v>
      </c>
      <c r="H279" s="187" t="str">
        <f t="shared" ref="H279:AE279" si="1296">+IFERROR(H152/((H$152)),"n/a")</f>
        <v>n/a</v>
      </c>
      <c r="I279" s="187" t="str">
        <f t="shared" si="1296"/>
        <v>n/a</v>
      </c>
      <c r="J279" s="187" t="str">
        <f t="shared" si="1296"/>
        <v>n/a</v>
      </c>
      <c r="K279" s="187" t="str">
        <f t="shared" si="1296"/>
        <v>n/a</v>
      </c>
      <c r="L279" s="187" t="str">
        <f t="shared" si="1296"/>
        <v>n/a</v>
      </c>
      <c r="M279" s="187" t="str">
        <f t="shared" si="1296"/>
        <v>n/a</v>
      </c>
      <c r="N279" s="187" t="str">
        <f t="shared" si="1296"/>
        <v>n/a</v>
      </c>
      <c r="O279" s="187" t="str">
        <f t="shared" si="1296"/>
        <v>n/a</v>
      </c>
      <c r="P279" s="187" t="str">
        <f t="shared" si="1296"/>
        <v>n/a</v>
      </c>
      <c r="Q279" s="187" t="str">
        <f t="shared" si="1296"/>
        <v>n/a</v>
      </c>
      <c r="R279" s="187">
        <f t="shared" si="1296"/>
        <v>1</v>
      </c>
      <c r="S279" s="187">
        <f t="shared" si="1296"/>
        <v>1</v>
      </c>
      <c r="T279" s="187">
        <f t="shared" si="1296"/>
        <v>1</v>
      </c>
      <c r="U279" s="187">
        <f t="shared" si="1296"/>
        <v>1</v>
      </c>
      <c r="V279" s="187">
        <f t="shared" si="1296"/>
        <v>1</v>
      </c>
      <c r="W279" s="187">
        <f t="shared" si="1296"/>
        <v>1</v>
      </c>
      <c r="X279" s="187">
        <f t="shared" si="1296"/>
        <v>1</v>
      </c>
      <c r="Y279" s="187">
        <f t="shared" si="1296"/>
        <v>1</v>
      </c>
      <c r="Z279" s="187">
        <f t="shared" si="1296"/>
        <v>1</v>
      </c>
      <c r="AA279" s="187">
        <f t="shared" si="1296"/>
        <v>1</v>
      </c>
      <c r="AB279" s="187" t="str">
        <f t="shared" si="1296"/>
        <v>n/a</v>
      </c>
      <c r="AC279" s="187" t="str">
        <f t="shared" si="1296"/>
        <v>n/a</v>
      </c>
      <c r="AD279" s="187" t="str">
        <f t="shared" si="1296"/>
        <v>n/a</v>
      </c>
      <c r="AE279" s="187" t="str">
        <f t="shared" si="1296"/>
        <v>n/a</v>
      </c>
      <c r="AF279" s="187" t="str">
        <f t="shared" ref="AF279:AG279" si="1297">+IFERROR(AF152/((AF$152)),"n/a")</f>
        <v>n/a</v>
      </c>
      <c r="AG279" s="187" t="str">
        <f t="shared" si="1297"/>
        <v>n/a</v>
      </c>
      <c r="AH279" s="187" t="str">
        <f t="shared" ref="AH279" si="1298">+IFERROR(AH152/((AH$152)),"n/a")</f>
        <v>n/a</v>
      </c>
      <c r="AI279" s="187" t="str">
        <f t="shared" ref="AI279" si="1299">+IFERROR(AI152/((AI$152)),"n/a")</f>
        <v>n/a</v>
      </c>
      <c r="AJ279" s="187" t="str">
        <f t="shared" ref="AJ279:AM279" si="1300">+IFERROR(AJ152/((AJ$152)),"n/a")</f>
        <v>n/a</v>
      </c>
      <c r="AK279" s="187" t="str">
        <f t="shared" si="1300"/>
        <v>n/a</v>
      </c>
      <c r="AL279" s="187" t="str">
        <f t="shared" si="1300"/>
        <v>n/a</v>
      </c>
      <c r="AM279" s="187" t="str">
        <f t="shared" si="1300"/>
        <v>n/a</v>
      </c>
      <c r="AO279" s="187">
        <f t="shared" ref="AO279:AW279" si="1301">+IFERROR(AO152/((AO$152)),"n/a")</f>
        <v>1</v>
      </c>
      <c r="AP279" s="187">
        <f t="shared" si="1301"/>
        <v>1</v>
      </c>
      <c r="AQ279" s="187" t="str">
        <f t="shared" si="1301"/>
        <v>n/a</v>
      </c>
      <c r="AR279" s="187" t="str">
        <f t="shared" si="1301"/>
        <v>n/a</v>
      </c>
      <c r="AS279" s="187">
        <f t="shared" si="1301"/>
        <v>1</v>
      </c>
      <c r="AT279" s="187">
        <f t="shared" si="1301"/>
        <v>1</v>
      </c>
      <c r="AU279" s="187">
        <f t="shared" si="1301"/>
        <v>1</v>
      </c>
      <c r="AV279" s="187" t="str">
        <f t="shared" si="1301"/>
        <v>n/a</v>
      </c>
      <c r="AW279" s="187" t="str">
        <f t="shared" si="1301"/>
        <v>n/a</v>
      </c>
      <c r="AX279" s="187" t="str">
        <f t="shared" ref="AX279" si="1302">+IFERROR(AX152/((AX$152)),"n/a")</f>
        <v>n/a</v>
      </c>
    </row>
    <row r="280" spans="2:50" x14ac:dyDescent="0.2">
      <c r="B280" s="38" t="s">
        <v>383</v>
      </c>
      <c r="H280" s="185">
        <f t="shared" ref="H280:AE280" si="1303">+IFERROR(H153/((H$223*1000)),"n/a")</f>
        <v>2.0915468277945617E-2</v>
      </c>
      <c r="I280" s="185">
        <f t="shared" si="1303"/>
        <v>3.2854443582031628E-2</v>
      </c>
      <c r="J280" s="185">
        <f t="shared" si="1303"/>
        <v>2.8508783201176734E-2</v>
      </c>
      <c r="K280" s="185">
        <f t="shared" si="1303"/>
        <v>2.7627275836794522E-2</v>
      </c>
      <c r="L280" s="185">
        <f t="shared" si="1303"/>
        <v>2.9902657894736853E-2</v>
      </c>
      <c r="M280" s="185">
        <f t="shared" si="1303"/>
        <v>3.1133124925263492E-2</v>
      </c>
      <c r="N280" s="185">
        <f t="shared" si="1303"/>
        <v>3.0128824270030555E-2</v>
      </c>
      <c r="O280" s="185">
        <f t="shared" si="1303"/>
        <v>2.908698558145802E-2</v>
      </c>
      <c r="P280" s="185">
        <f t="shared" si="1303"/>
        <v>2.1616189689358897E-2</v>
      </c>
      <c r="Q280" s="185">
        <f t="shared" si="1303"/>
        <v>3.5275866757701294E-2</v>
      </c>
      <c r="R280" s="185">
        <f t="shared" si="1303"/>
        <v>3.2420662842749394E-2</v>
      </c>
      <c r="S280" s="185">
        <f t="shared" si="1303"/>
        <v>4.5071358151974168E-2</v>
      </c>
      <c r="T280" s="185">
        <f t="shared" si="1303"/>
        <v>4.1406208548298247E-2</v>
      </c>
      <c r="U280" s="185">
        <f t="shared" si="1303"/>
        <v>3.6828897009496701E-2</v>
      </c>
      <c r="V280" s="185">
        <f t="shared" si="1303"/>
        <v>3.1186401142372082E-2</v>
      </c>
      <c r="W280" s="185">
        <f t="shared" si="1303"/>
        <v>3.3945150797995247E-2</v>
      </c>
      <c r="X280" s="185">
        <f t="shared" si="1303"/>
        <v>3.3941327932977633E-2</v>
      </c>
      <c r="Y280" s="185">
        <f t="shared" si="1303"/>
        <v>4.1978039281114772E-2</v>
      </c>
      <c r="Z280" s="185">
        <f t="shared" si="1303"/>
        <v>4.2112771282190681E-2</v>
      </c>
      <c r="AA280" s="185">
        <f t="shared" si="1303"/>
        <v>4.1652646994911398E-2</v>
      </c>
      <c r="AB280" s="185">
        <f t="shared" si="1303"/>
        <v>4.1397338600707517E-2</v>
      </c>
      <c r="AC280" s="185">
        <f t="shared" si="1303"/>
        <v>4.9451199208661041E-2</v>
      </c>
      <c r="AD280" s="185">
        <f t="shared" si="1303"/>
        <v>4.8793879342863763E-2</v>
      </c>
      <c r="AE280" s="185">
        <f t="shared" si="1303"/>
        <v>5.4013906508364677E-2</v>
      </c>
      <c r="AF280" s="185">
        <f t="shared" ref="AF280:AG280" si="1304">+IFERROR(AF153/((AF$223*1000)),"n/a")</f>
        <v>5.288752074918366E-2</v>
      </c>
      <c r="AG280" s="185">
        <f t="shared" si="1304"/>
        <v>5.4493965514079971E-2</v>
      </c>
      <c r="AH280" s="185">
        <f t="shared" ref="AH280" si="1305">+IFERROR(AH153/((AH$223*1000)),"n/a")</f>
        <v>5.0246553872233334E-2</v>
      </c>
      <c r="AI280" s="185">
        <f t="shared" ref="AI280" si="1306">+IFERROR(AI153/((AI$223*1000)),"n/a")</f>
        <v>4.9411716111796115E-2</v>
      </c>
      <c r="AJ280" s="185">
        <f t="shared" ref="AJ280:AM280" si="1307">+IFERROR(AJ153/((AJ$223*1000)),"n/a")</f>
        <v>4.8259906985044933E-2</v>
      </c>
      <c r="AK280" s="185">
        <f t="shared" si="1307"/>
        <v>4.9787205887116992E-2</v>
      </c>
      <c r="AL280" s="185">
        <f t="shared" si="1307"/>
        <v>4.9787205887116992E-2</v>
      </c>
      <c r="AM280" s="185">
        <f t="shared" si="1307"/>
        <v>4.9787205887116992E-2</v>
      </c>
      <c r="AO280" s="185" t="str">
        <f t="shared" ref="AO280:AW280" si="1308">+IFERROR(AO153/((AO$223*1000)),"n/a")</f>
        <v>n/a</v>
      </c>
      <c r="AP280" s="185">
        <f t="shared" si="1308"/>
        <v>1.2347528124092916E-2</v>
      </c>
      <c r="AQ280" s="185">
        <f t="shared" si="1308"/>
        <v>2.7820165394402036E-2</v>
      </c>
      <c r="AR280" s="185">
        <f t="shared" si="1308"/>
        <v>2.9944253924100932E-2</v>
      </c>
      <c r="AS280" s="185">
        <f t="shared" si="1308"/>
        <v>3.5432169344924866E-2</v>
      </c>
      <c r="AT280" s="185">
        <f t="shared" si="1308"/>
        <v>3.552108108799705E-2</v>
      </c>
      <c r="AU280" s="185">
        <f t="shared" si="1308"/>
        <v>4.0219688280406583E-2</v>
      </c>
      <c r="AV280" s="185">
        <f t="shared" si="1308"/>
        <v>4.8925505100821998E-2</v>
      </c>
      <c r="AW280" s="185">
        <f t="shared" si="1308"/>
        <v>5.1585919206772135E-2</v>
      </c>
      <c r="AX280" s="185">
        <f t="shared" ref="AX280" si="1309">+IFERROR(AX153/((AX$223*1000)),"n/a")</f>
        <v>4.9457991024157447E-2</v>
      </c>
    </row>
    <row r="281" spans="2:50" s="1" customFormat="1" x14ac:dyDescent="0.2">
      <c r="B281" s="38"/>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Q281" s="179"/>
      <c r="AR281" s="179"/>
      <c r="AS281" s="179"/>
      <c r="AT281" s="179"/>
      <c r="AU281" s="179"/>
      <c r="AV281" s="179"/>
      <c r="AW281" s="179"/>
      <c r="AX281" s="179"/>
    </row>
    <row r="282" spans="2:50" s="1" customFormat="1" x14ac:dyDescent="0.2">
      <c r="B282" s="19" t="s">
        <v>85</v>
      </c>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220"/>
      <c r="AH282" s="220"/>
    </row>
    <row r="283" spans="2:50" s="1" customFormat="1" x14ac:dyDescent="0.2">
      <c r="B283" s="20" t="s">
        <v>225</v>
      </c>
      <c r="H283" s="42"/>
      <c r="I283" s="42"/>
      <c r="J283" s="42"/>
      <c r="K283" s="42"/>
      <c r="L283" s="173">
        <f t="shared" ref="L283:U287" si="1310">+IFERROR(L276/H276-1,"n/a")</f>
        <v>0.55187997710638026</v>
      </c>
      <c r="M283" s="173">
        <f t="shared" si="1310"/>
        <v>-3.9489815927781668E-2</v>
      </c>
      <c r="N283" s="173">
        <f t="shared" si="1310"/>
        <v>7.0363425972995053E-2</v>
      </c>
      <c r="O283" s="173">
        <f t="shared" si="1310"/>
        <v>5.5359801155820287E-2</v>
      </c>
      <c r="P283" s="173">
        <f t="shared" si="1310"/>
        <v>-0.30127889702984811</v>
      </c>
      <c r="Q283" s="173">
        <f t="shared" si="1310"/>
        <v>0.15797800447554877</v>
      </c>
      <c r="R283" s="173">
        <f t="shared" si="1310"/>
        <v>5.9439220818952476E-2</v>
      </c>
      <c r="S283" s="173">
        <f t="shared" si="1310"/>
        <v>0.26958654471065668</v>
      </c>
      <c r="T283" s="173">
        <f t="shared" si="1310"/>
        <v>0.57989646369631642</v>
      </c>
      <c r="U283" s="173">
        <f t="shared" si="1310"/>
        <v>-1.2931627340745377E-3</v>
      </c>
      <c r="V283" s="173">
        <f t="shared" ref="V283:AH287" si="1311">+IFERROR(V276/R276-1,"n/a")</f>
        <v>6.2530359264890922E-2</v>
      </c>
      <c r="W283" s="173">
        <f t="shared" si="1311"/>
        <v>-3.1291801678824505E-2</v>
      </c>
      <c r="X283" s="173">
        <f t="shared" si="1311"/>
        <v>6.5012566722907561E-2</v>
      </c>
      <c r="Y283" s="173">
        <f t="shared" si="1311"/>
        <v>0.20474557801332649</v>
      </c>
      <c r="Z283" s="173">
        <f t="shared" si="1311"/>
        <v>0.27205780163098336</v>
      </c>
      <c r="AA283" s="173">
        <f t="shared" si="1311"/>
        <v>0.16498706519222606</v>
      </c>
      <c r="AB283" s="173">
        <f t="shared" si="1311"/>
        <v>0.20021135739055995</v>
      </c>
      <c r="AC283" s="173">
        <f t="shared" si="1311"/>
        <v>0.15906789489514139</v>
      </c>
      <c r="AD283" s="173">
        <f t="shared" si="1311"/>
        <v>0.15378893698479823</v>
      </c>
      <c r="AE283" s="173">
        <f t="shared" si="1311"/>
        <v>0.25746725810448634</v>
      </c>
      <c r="AF283" s="173">
        <f t="shared" si="1311"/>
        <v>0.27733280856524067</v>
      </c>
      <c r="AG283" s="173">
        <f t="shared" si="1311"/>
        <v>9.7297885682123386E-2</v>
      </c>
      <c r="AH283" s="173">
        <f t="shared" si="1311"/>
        <v>3.6237284193513908E-2</v>
      </c>
      <c r="AI283" s="173">
        <f t="shared" ref="AI283" si="1312">+IFERROR(AI276/AE276-1,"n/a")</f>
        <v>-2.0455743734546949E-2</v>
      </c>
      <c r="AJ283" s="173">
        <f t="shared" ref="AJ283:AJ287" si="1313">+IFERROR(AJ276/AF276-1,"n/a")</f>
        <v>-4.0561794211822821E-2</v>
      </c>
      <c r="AK283" s="173">
        <f t="shared" ref="AK283:AK287" si="1314">+IFERROR(AK276/AG276-1,"n/a")</f>
        <v>-5.0934698443203308E-2</v>
      </c>
      <c r="AL283" s="173">
        <f t="shared" ref="AL283:AL287" si="1315">+IFERROR(AL276/AH276-1,"n/a")</f>
        <v>8.1499999999998796E-3</v>
      </c>
      <c r="AM283" s="173">
        <f t="shared" ref="AM283:AM287" si="1316">+IFERROR(AM276/AI276-1,"n/a")</f>
        <v>8.1499999999998796E-3</v>
      </c>
      <c r="AQ283" s="173">
        <f>+IFERROR(AQ276/AP276-1,"n/a")</f>
        <v>1.8520801836708936</v>
      </c>
      <c r="AR283" s="173">
        <f t="shared" ref="AR283:AV283" si="1317">+IFERROR(AR276/AQ276-1,"n/a")</f>
        <v>9.0905252005859527E-2</v>
      </c>
      <c r="AS283" s="173">
        <f t="shared" si="1317"/>
        <v>8.6391160612481421E-2</v>
      </c>
      <c r="AT283" s="173">
        <f t="shared" si="1317"/>
        <v>6.7434085931502574E-2</v>
      </c>
      <c r="AU283" s="173">
        <f t="shared" si="1317"/>
        <v>0.18160252465124671</v>
      </c>
      <c r="AV283" s="173">
        <f t="shared" si="1317"/>
        <v>0.19459931751213855</v>
      </c>
      <c r="AW283" s="173">
        <f t="shared" ref="AW283:AX283" si="1318">+IFERROR(AW276/AV276-1,"n/a")</f>
        <v>7.601125367525885E-2</v>
      </c>
      <c r="AX283" s="173">
        <f t="shared" si="1318"/>
        <v>-1.7030933383739844E-2</v>
      </c>
    </row>
    <row r="284" spans="2:50" s="1" customFormat="1" ht="13.5" x14ac:dyDescent="0.35">
      <c r="B284" s="20" t="s">
        <v>226</v>
      </c>
      <c r="H284" s="42"/>
      <c r="I284" s="42"/>
      <c r="J284" s="42"/>
      <c r="K284" s="42"/>
      <c r="L284" s="180">
        <f t="shared" si="1310"/>
        <v>-5.9985569829007712E-2</v>
      </c>
      <c r="M284" s="180">
        <f t="shared" si="1310"/>
        <v>-0.14287326337902362</v>
      </c>
      <c r="N284" s="180">
        <f t="shared" si="1310"/>
        <v>-4.4265851166058856E-2</v>
      </c>
      <c r="O284" s="180">
        <f t="shared" si="1310"/>
        <v>3.1235816422422902E-2</v>
      </c>
      <c r="P284" s="180">
        <f t="shared" si="1310"/>
        <v>-0.11724283630797749</v>
      </c>
      <c r="Q284" s="180">
        <f t="shared" si="1310"/>
        <v>-6.27114302118571E-2</v>
      </c>
      <c r="R284" s="180">
        <f t="shared" si="1310"/>
        <v>-5.4605029929479243E-2</v>
      </c>
      <c r="S284" s="180">
        <f t="shared" si="1310"/>
        <v>-5.170924173794722E-3</v>
      </c>
      <c r="T284" s="180">
        <f t="shared" si="1310"/>
        <v>-0.20679028155130186</v>
      </c>
      <c r="U284" s="180">
        <f t="shared" si="1310"/>
        <v>-0.52744861903855211</v>
      </c>
      <c r="V284" s="180">
        <f t="shared" si="1311"/>
        <v>-0.75059343856881422</v>
      </c>
      <c r="W284" s="180">
        <f t="shared" si="1311"/>
        <v>-0.41819927760282105</v>
      </c>
      <c r="X284" s="180">
        <f t="shared" si="1311"/>
        <v>0.21135411723449282</v>
      </c>
      <c r="Y284" s="180">
        <f t="shared" si="1311"/>
        <v>1.199431896870887</v>
      </c>
      <c r="Z284" s="180">
        <f t="shared" si="1311"/>
        <v>3.6191010865217654</v>
      </c>
      <c r="AA284" s="180">
        <f t="shared" si="1311"/>
        <v>1.4234695864656195</v>
      </c>
      <c r="AB284" s="180">
        <f t="shared" si="1311"/>
        <v>0.42424642822429703</v>
      </c>
      <c r="AC284" s="180">
        <f t="shared" si="1311"/>
        <v>0.41664987953035793</v>
      </c>
      <c r="AD284" s="180">
        <f t="shared" si="1311"/>
        <v>0.23629329482284711</v>
      </c>
      <c r="AE284" s="180">
        <f t="shared" si="1311"/>
        <v>0.6692657738303911</v>
      </c>
      <c r="AF284" s="180">
        <f t="shared" si="1311"/>
        <v>0.27930239413412283</v>
      </c>
      <c r="AG284" s="180">
        <f t="shared" si="1311"/>
        <v>0.14498072502426829</v>
      </c>
      <c r="AH284" s="180">
        <f t="shared" si="1311"/>
        <v>-3.6577700859721229E-2</v>
      </c>
      <c r="AI284" s="180">
        <f t="shared" ref="AI284" si="1319">+IFERROR(AI277/AE277-1,"n/a")</f>
        <v>-0.52154291070793624</v>
      </c>
      <c r="AJ284" s="180">
        <f t="shared" si="1313"/>
        <v>-0.44966722528183301</v>
      </c>
      <c r="AK284" s="180">
        <f t="shared" si="1314"/>
        <v>-0.3986763963647556</v>
      </c>
      <c r="AL284" s="180">
        <f t="shared" si="1315"/>
        <v>-0.19999999999999996</v>
      </c>
      <c r="AM284" s="180">
        <f t="shared" si="1316"/>
        <v>0</v>
      </c>
      <c r="AQ284" s="180">
        <f t="shared" ref="AQ284:AV284" si="1320">+IFERROR(AQ277/AP277-1,"n/a")</f>
        <v>-9.5760936017332265E-2</v>
      </c>
      <c r="AR284" s="180">
        <f t="shared" si="1320"/>
        <v>-2.811373414071483E-2</v>
      </c>
      <c r="AS284" s="180">
        <f t="shared" si="1320"/>
        <v>-4.8633674534217741E-2</v>
      </c>
      <c r="AT284" s="180">
        <f t="shared" si="1320"/>
        <v>-0.47375320521962894</v>
      </c>
      <c r="AU284" s="180">
        <f t="shared" si="1320"/>
        <v>1.2037085593231978</v>
      </c>
      <c r="AV284" s="180">
        <f t="shared" si="1320"/>
        <v>0.458941950295366</v>
      </c>
      <c r="AW284" s="180">
        <f t="shared" ref="AW284:AX284" si="1321">+IFERROR(AW277/AV277-1,"n/a")</f>
        <v>-0.12286951114451339</v>
      </c>
      <c r="AX284" s="180">
        <f t="shared" si="1321"/>
        <v>-0.28466397535364352</v>
      </c>
    </row>
    <row r="285" spans="2:50" s="1" customFormat="1" x14ac:dyDescent="0.2">
      <c r="B285" s="30" t="s">
        <v>223</v>
      </c>
      <c r="H285" s="42"/>
      <c r="I285" s="42"/>
      <c r="J285" s="42"/>
      <c r="K285" s="42"/>
      <c r="L285" s="173">
        <f t="shared" si="1310"/>
        <v>0.42969105436036581</v>
      </c>
      <c r="M285" s="173">
        <f t="shared" si="1310"/>
        <v>-5.2392263240444548E-2</v>
      </c>
      <c r="N285" s="173">
        <f t="shared" si="1310"/>
        <v>5.6826033486653715E-2</v>
      </c>
      <c r="O285" s="173">
        <f t="shared" si="1310"/>
        <v>5.283581896697287E-2</v>
      </c>
      <c r="P285" s="173">
        <f t="shared" si="1310"/>
        <v>-0.27711477135403573</v>
      </c>
      <c r="Q285" s="173">
        <f t="shared" si="1310"/>
        <v>0.13306540356557983</v>
      </c>
      <c r="R285" s="173">
        <f t="shared" si="1310"/>
        <v>4.7259243939173246E-2</v>
      </c>
      <c r="S285" s="173">
        <f t="shared" si="1310"/>
        <v>0.24142969360206168</v>
      </c>
      <c r="T285" s="173">
        <f t="shared" si="1310"/>
        <v>0.45375964015421033</v>
      </c>
      <c r="U285" s="173">
        <f t="shared" si="1310"/>
        <v>-5.0425785584467309E-2</v>
      </c>
      <c r="V285" s="173">
        <f t="shared" si="1311"/>
        <v>-1.5864723739288489E-2</v>
      </c>
      <c r="W285" s="173">
        <f t="shared" si="1311"/>
        <v>-6.3065519889893396E-2</v>
      </c>
      <c r="X285" s="173">
        <f t="shared" si="1311"/>
        <v>7.781531269093267E-2</v>
      </c>
      <c r="Y285" s="173">
        <f t="shared" si="1311"/>
        <v>0.25096900477575468</v>
      </c>
      <c r="Z285" s="173">
        <f t="shared" si="1311"/>
        <v>0.35383769815610555</v>
      </c>
      <c r="AA285" s="173">
        <f t="shared" si="1311"/>
        <v>0.22916313851901493</v>
      </c>
      <c r="AB285" s="173">
        <f t="shared" si="1311"/>
        <v>0.22223951906957784</v>
      </c>
      <c r="AC285" s="173">
        <f t="shared" si="1311"/>
        <v>0.18011321078227471</v>
      </c>
      <c r="AD285" s="173">
        <f t="shared" si="1311"/>
        <v>0.16066679141730544</v>
      </c>
      <c r="AE285" s="173">
        <f t="shared" si="1311"/>
        <v>0.29887092213505118</v>
      </c>
      <c r="AF285" s="173">
        <f t="shared" si="1311"/>
        <v>0.27755847445419501</v>
      </c>
      <c r="AG285" s="173">
        <f t="shared" si="1311"/>
        <v>0.10197460094225019</v>
      </c>
      <c r="AH285" s="173">
        <f t="shared" si="1311"/>
        <v>2.9771654743045772E-2</v>
      </c>
      <c r="AI285" s="173">
        <f t="shared" ref="AI285" si="1322">+IFERROR(AI278/AE278-1,"n/a")</f>
        <v>-8.5203805724658355E-2</v>
      </c>
      <c r="AJ285" s="173">
        <f t="shared" si="1313"/>
        <v>-8.7499162346538206E-2</v>
      </c>
      <c r="AK285" s="173">
        <f t="shared" si="1314"/>
        <v>-8.6372125474092454E-2</v>
      </c>
      <c r="AL285" s="173">
        <f t="shared" si="1315"/>
        <v>-9.1418803821724515E-3</v>
      </c>
      <c r="AM285" s="173">
        <f t="shared" si="1316"/>
        <v>7.5992053073266064E-3</v>
      </c>
      <c r="AQ285" s="173">
        <f t="shared" ref="AQ285:AV285" si="1323">+IFERROR(AQ278/AP278-1,"n/a")</f>
        <v>1.2574232707206692</v>
      </c>
      <c r="AR285" s="173">
        <f t="shared" si="1323"/>
        <v>7.6350679429328716E-2</v>
      </c>
      <c r="AS285" s="173">
        <f t="shared" si="1323"/>
        <v>7.1481817101168854E-2</v>
      </c>
      <c r="AT285" s="173">
        <f t="shared" si="1323"/>
        <v>1.4375530194739916E-2</v>
      </c>
      <c r="AU285" s="173">
        <f t="shared" si="1323"/>
        <v>0.23358949237433024</v>
      </c>
      <c r="AV285" s="173">
        <f t="shared" si="1323"/>
        <v>0.21861800339991011</v>
      </c>
      <c r="AW285" s="173">
        <f t="shared" ref="AW285:AX285" si="1324">+IFERROR(AW278/AV278-1,"n/a")</f>
        <v>5.4376834750458958E-2</v>
      </c>
      <c r="AX285" s="173">
        <f t="shared" si="1324"/>
        <v>-4.1250174763491243E-2</v>
      </c>
    </row>
    <row r="286" spans="2:50" s="1" customFormat="1" ht="13.5" x14ac:dyDescent="0.35">
      <c r="B286" s="20" t="s">
        <v>222</v>
      </c>
      <c r="H286" s="42"/>
      <c r="I286" s="42"/>
      <c r="J286" s="42"/>
      <c r="K286" s="42"/>
      <c r="L286" s="180" t="str">
        <f t="shared" si="1310"/>
        <v>n/a</v>
      </c>
      <c r="M286" s="180" t="str">
        <f t="shared" si="1310"/>
        <v>n/a</v>
      </c>
      <c r="N286" s="180" t="str">
        <f t="shared" si="1310"/>
        <v>n/a</v>
      </c>
      <c r="O286" s="180" t="str">
        <f t="shared" si="1310"/>
        <v>n/a</v>
      </c>
      <c r="P286" s="180" t="str">
        <f t="shared" si="1310"/>
        <v>n/a</v>
      </c>
      <c r="Q286" s="180" t="str">
        <f t="shared" si="1310"/>
        <v>n/a</v>
      </c>
      <c r="R286" s="180" t="str">
        <f t="shared" si="1310"/>
        <v>n/a</v>
      </c>
      <c r="S286" s="180" t="str">
        <f t="shared" si="1310"/>
        <v>n/a</v>
      </c>
      <c r="T286" s="180" t="str">
        <f t="shared" si="1310"/>
        <v>n/a</v>
      </c>
      <c r="U286" s="180" t="str">
        <f t="shared" si="1310"/>
        <v>n/a</v>
      </c>
      <c r="V286" s="180">
        <f t="shared" si="1311"/>
        <v>0</v>
      </c>
      <c r="W286" s="180">
        <f t="shared" si="1311"/>
        <v>0</v>
      </c>
      <c r="X286" s="180">
        <f t="shared" si="1311"/>
        <v>0</v>
      </c>
      <c r="Y286" s="180">
        <f t="shared" si="1311"/>
        <v>0</v>
      </c>
      <c r="Z286" s="180">
        <f t="shared" si="1311"/>
        <v>0</v>
      </c>
      <c r="AA286" s="180">
        <f t="shared" si="1311"/>
        <v>0</v>
      </c>
      <c r="AB286" s="180" t="str">
        <f t="shared" si="1311"/>
        <v>n/a</v>
      </c>
      <c r="AC286" s="180" t="str">
        <f t="shared" si="1311"/>
        <v>n/a</v>
      </c>
      <c r="AD286" s="180" t="str">
        <f t="shared" si="1311"/>
        <v>n/a</v>
      </c>
      <c r="AE286" s="180" t="str">
        <f t="shared" si="1311"/>
        <v>n/a</v>
      </c>
      <c r="AF286" s="180" t="str">
        <f t="shared" si="1311"/>
        <v>n/a</v>
      </c>
      <c r="AG286" s="180" t="str">
        <f t="shared" si="1311"/>
        <v>n/a</v>
      </c>
      <c r="AH286" s="180" t="str">
        <f t="shared" si="1311"/>
        <v>n/a</v>
      </c>
      <c r="AI286" s="180" t="str">
        <f t="shared" ref="AI286" si="1325">+IFERROR(AI279/AE279-1,"n/a")</f>
        <v>n/a</v>
      </c>
      <c r="AJ286" s="180" t="str">
        <f t="shared" si="1313"/>
        <v>n/a</v>
      </c>
      <c r="AK286" s="180" t="str">
        <f t="shared" si="1314"/>
        <v>n/a</v>
      </c>
      <c r="AL286" s="180" t="str">
        <f t="shared" si="1315"/>
        <v>n/a</v>
      </c>
      <c r="AM286" s="180" t="str">
        <f t="shared" si="1316"/>
        <v>n/a</v>
      </c>
      <c r="AQ286" s="180" t="str">
        <f t="shared" ref="AQ286:AV286" si="1326">+IFERROR(AQ279/AP279-1,"n/a")</f>
        <v>n/a</v>
      </c>
      <c r="AR286" s="180" t="str">
        <f t="shared" si="1326"/>
        <v>n/a</v>
      </c>
      <c r="AS286" s="180" t="str">
        <f t="shared" si="1326"/>
        <v>n/a</v>
      </c>
      <c r="AT286" s="180">
        <f t="shared" si="1326"/>
        <v>0</v>
      </c>
      <c r="AU286" s="180">
        <f t="shared" si="1326"/>
        <v>0</v>
      </c>
      <c r="AV286" s="180" t="str">
        <f t="shared" si="1326"/>
        <v>n/a</v>
      </c>
      <c r="AW286" s="180" t="str">
        <f t="shared" ref="AW286:AX286" si="1327">+IFERROR(AW279/AV279-1,"n/a")</f>
        <v>n/a</v>
      </c>
      <c r="AX286" s="180" t="str">
        <f t="shared" si="1327"/>
        <v>n/a</v>
      </c>
    </row>
    <row r="287" spans="2:50" s="1" customFormat="1" x14ac:dyDescent="0.2">
      <c r="B287" s="30" t="s">
        <v>383</v>
      </c>
      <c r="H287" s="42"/>
      <c r="I287" s="42"/>
      <c r="J287" s="42"/>
      <c r="K287" s="42"/>
      <c r="L287" s="173">
        <f t="shared" si="1310"/>
        <v>0.42969105436036581</v>
      </c>
      <c r="M287" s="173">
        <f t="shared" si="1310"/>
        <v>-5.2392263240444548E-2</v>
      </c>
      <c r="N287" s="173">
        <f t="shared" si="1310"/>
        <v>5.6826033486653715E-2</v>
      </c>
      <c r="O287" s="173">
        <f t="shared" si="1310"/>
        <v>5.283581896697287E-2</v>
      </c>
      <c r="P287" s="173">
        <f t="shared" si="1310"/>
        <v>-0.27711477135403573</v>
      </c>
      <c r="Q287" s="173">
        <f t="shared" si="1310"/>
        <v>0.13306540356557983</v>
      </c>
      <c r="R287" s="173">
        <f t="shared" si="1310"/>
        <v>7.6067972390099214E-2</v>
      </c>
      <c r="S287" s="173">
        <f t="shared" si="1310"/>
        <v>0.54953692350663008</v>
      </c>
      <c r="T287" s="173">
        <f t="shared" si="1310"/>
        <v>0.91551837503912514</v>
      </c>
      <c r="U287" s="173">
        <f t="shared" si="1310"/>
        <v>4.4025289653764732E-2</v>
      </c>
      <c r="V287" s="173">
        <f t="shared" si="1311"/>
        <v>-3.807021794600185E-2</v>
      </c>
      <c r="W287" s="173">
        <f t="shared" si="1311"/>
        <v>-0.2468576011502237</v>
      </c>
      <c r="X287" s="173">
        <f t="shared" si="1311"/>
        <v>-0.18028408968218401</v>
      </c>
      <c r="Y287" s="173">
        <f t="shared" si="1311"/>
        <v>0.13981255725063702</v>
      </c>
      <c r="Z287" s="173">
        <f t="shared" si="1311"/>
        <v>0.3503568779846562</v>
      </c>
      <c r="AA287" s="173">
        <f t="shared" si="1311"/>
        <v>0.22705735622689716</v>
      </c>
      <c r="AB287" s="173">
        <f t="shared" si="1311"/>
        <v>0.2196735107846377</v>
      </c>
      <c r="AC287" s="173">
        <f t="shared" si="1311"/>
        <v>0.17802546415997855</v>
      </c>
      <c r="AD287" s="173">
        <f t="shared" si="1311"/>
        <v>0.15864802664978006</v>
      </c>
      <c r="AE287" s="173">
        <f t="shared" si="1311"/>
        <v>0.29677008318255083</v>
      </c>
      <c r="AF287" s="173">
        <f t="shared" si="1311"/>
        <v>0.27755847445419501</v>
      </c>
      <c r="AG287" s="173">
        <f t="shared" si="1311"/>
        <v>0.10197460094225019</v>
      </c>
      <c r="AH287" s="173">
        <f t="shared" si="1311"/>
        <v>2.9771654743045772E-2</v>
      </c>
      <c r="AI287" s="173">
        <f t="shared" ref="AI287" si="1328">+IFERROR(AI280/AE280-1,"n/a")</f>
        <v>-8.5203805724658355E-2</v>
      </c>
      <c r="AJ287" s="173">
        <f t="shared" si="1313"/>
        <v>-8.7499162346538206E-2</v>
      </c>
      <c r="AK287" s="173">
        <f t="shared" si="1314"/>
        <v>-8.6372125474092454E-2</v>
      </c>
      <c r="AL287" s="173">
        <f t="shared" si="1315"/>
        <v>-9.1418803821724515E-3</v>
      </c>
      <c r="AM287" s="173">
        <f t="shared" si="1316"/>
        <v>7.5992053073266064E-3</v>
      </c>
      <c r="AQ287" s="173">
        <f t="shared" ref="AQ287:AV287" si="1329">+IFERROR(AQ280/AP280-1,"n/a")</f>
        <v>1.2530959326278741</v>
      </c>
      <c r="AR287" s="173">
        <f t="shared" si="1329"/>
        <v>7.6350679429328716E-2</v>
      </c>
      <c r="AS287" s="173">
        <f t="shared" si="1329"/>
        <v>0.18327106879116228</v>
      </c>
      <c r="AT287" s="173">
        <f t="shared" si="1329"/>
        <v>2.5093508163906986E-3</v>
      </c>
      <c r="AU287" s="173">
        <f t="shared" si="1329"/>
        <v>0.13227658191960945</v>
      </c>
      <c r="AV287" s="173">
        <f t="shared" si="1329"/>
        <v>0.2164565960760203</v>
      </c>
      <c r="AW287" s="173">
        <f t="shared" ref="AW287:AX287" si="1330">+IFERROR(AW280/AV280-1,"n/a")</f>
        <v>5.4376834750458958E-2</v>
      </c>
      <c r="AX287" s="173">
        <f t="shared" si="1330"/>
        <v>-4.1250174763491243E-2</v>
      </c>
    </row>
    <row r="288" spans="2:50" s="1" customFormat="1" x14ac:dyDescent="0.2">
      <c r="B288" s="30"/>
      <c r="H288" s="42"/>
      <c r="I288" s="42"/>
      <c r="J288" s="42"/>
      <c r="K288" s="42"/>
      <c r="L288" s="173"/>
      <c r="M288" s="173"/>
      <c r="N288" s="173"/>
      <c r="O288" s="173"/>
      <c r="P288" s="173"/>
      <c r="Q288" s="173"/>
      <c r="R288" s="173"/>
      <c r="S288" s="173"/>
      <c r="T288" s="173"/>
      <c r="U288" s="173"/>
      <c r="V288" s="173"/>
      <c r="W288" s="173"/>
      <c r="X288" s="173"/>
      <c r="Y288" s="173"/>
      <c r="Z288" s="173"/>
      <c r="AA288" s="173"/>
      <c r="AB288" s="173"/>
      <c r="AC288" s="173"/>
      <c r="AD288" s="173"/>
      <c r="AE288" s="173"/>
      <c r="AF288" s="173"/>
      <c r="AG288" s="173"/>
      <c r="AH288" s="173"/>
      <c r="AQ288" s="173"/>
      <c r="AR288" s="173"/>
      <c r="AS288" s="173"/>
      <c r="AT288" s="173"/>
      <c r="AU288" s="173"/>
      <c r="AV288" s="173"/>
      <c r="AW288" s="173"/>
      <c r="AX288" s="173"/>
    </row>
    <row r="289" spans="2:50" s="1" customFormat="1" x14ac:dyDescent="0.2">
      <c r="B289" s="19" t="s">
        <v>261</v>
      </c>
      <c r="H289" s="42"/>
      <c r="I289" s="42"/>
      <c r="J289" s="42"/>
      <c r="K289" s="42"/>
      <c r="L289" s="173"/>
      <c r="M289" s="173"/>
      <c r="N289" s="173"/>
      <c r="O289" s="173"/>
      <c r="P289" s="173"/>
      <c r="Q289" s="173"/>
      <c r="R289" s="173"/>
      <c r="S289" s="173"/>
      <c r="T289" s="173"/>
      <c r="U289" s="173"/>
      <c r="V289" s="173"/>
      <c r="W289" s="173"/>
      <c r="X289" s="173"/>
      <c r="Y289" s="173"/>
      <c r="Z289" s="173"/>
      <c r="AA289" s="173"/>
      <c r="AB289" s="173"/>
      <c r="AC289" s="173"/>
      <c r="AD289" s="173"/>
      <c r="AE289" s="173"/>
      <c r="AF289" s="173"/>
      <c r="AG289" s="173"/>
      <c r="AH289" s="173"/>
      <c r="AQ289" s="173"/>
      <c r="AR289" s="173"/>
      <c r="AS289" s="173"/>
      <c r="AT289" s="173"/>
      <c r="AU289" s="173"/>
      <c r="AV289" s="173"/>
      <c r="AW289" s="173"/>
      <c r="AX289" s="173"/>
    </row>
    <row r="290" spans="2:50" s="1" customFormat="1" x14ac:dyDescent="0.2">
      <c r="B290" s="20" t="s">
        <v>225</v>
      </c>
      <c r="H290"/>
      <c r="I290" s="46">
        <f>+IFERROR(I276/H276-1,"n/a")</f>
        <v>0.71782743031422491</v>
      </c>
      <c r="J290" s="46">
        <f t="shared" ref="J290:J294" si="1331">+IFERROR(J276/I276-1,"n/a")</f>
        <v>-0.12562260369423583</v>
      </c>
      <c r="K290" s="46">
        <f t="shared" ref="K290:K294" si="1332">+IFERROR(K276/J276-1,"n/a")</f>
        <v>-1.6117127581193658E-2</v>
      </c>
      <c r="L290" s="46">
        <f t="shared" ref="L290:L294" si="1333">+IFERROR(L276/K276-1,"n/a")</f>
        <v>5.0113578175690954E-2</v>
      </c>
      <c r="M290" s="46">
        <f t="shared" ref="M290:M294" si="1334">+IFERROR(M276/L276-1,"n/a")</f>
        <v>6.3220587697753627E-2</v>
      </c>
      <c r="N290" s="46">
        <f t="shared" ref="N290:N294" si="1335">+IFERROR(N276/M276-1,"n/a")</f>
        <v>-2.5620341124028223E-2</v>
      </c>
      <c r="O290" s="46">
        <f t="shared" ref="O290:O294" si="1336">+IFERROR(O276/N276-1,"n/a")</f>
        <v>-2.9908526954165571E-2</v>
      </c>
      <c r="P290" s="46">
        <f t="shared" ref="P290:P294" si="1337">+IFERROR(P276/O276-1,"n/a")</f>
        <v>-0.30475225910322701</v>
      </c>
      <c r="Q290" s="46">
        <f t="shared" ref="Q290:Q294" si="1338">+IFERROR(Q276/P276-1,"n/a")</f>
        <v>0.76205649038792367</v>
      </c>
      <c r="R290" s="46">
        <f t="shared" ref="R290:R294" si="1339">+IFERROR(R276/Q276-1,"n/a")</f>
        <v>-0.10853572123856903</v>
      </c>
      <c r="S290" s="46">
        <f t="shared" ref="S290:S294" si="1340">+IFERROR(S276/R276-1,"n/a")</f>
        <v>0.16251603406327253</v>
      </c>
      <c r="T290" s="46">
        <f t="shared" ref="T290:T294" si="1341">+IFERROR(T276/S276-1,"n/a")</f>
        <v>-0.13482113384716254</v>
      </c>
      <c r="U290" s="46">
        <f t="shared" ref="U290:U294" si="1342">+IFERROR(U276/T276-1,"n/a")</f>
        <v>0.11385644884732127</v>
      </c>
      <c r="V290" s="46">
        <f t="shared" ref="V290:V294" si="1343">+IFERROR(V276/U276-1,"n/a")</f>
        <v>-5.1565659671169994E-2</v>
      </c>
      <c r="W290" s="46">
        <f t="shared" ref="W290:W294" si="1344">+IFERROR(W276/V276-1,"n/a")</f>
        <v>5.9865069320021558E-2</v>
      </c>
      <c r="X290" s="46">
        <f t="shared" ref="X290:X294" si="1345">+IFERROR(X276/W276-1,"n/a")</f>
        <v>-4.8809159958870141E-2</v>
      </c>
      <c r="Y290" s="46">
        <f t="shared" ref="Y290:Y294" si="1346">+IFERROR(Y276/X276-1,"n/a")</f>
        <v>0.25999793168597707</v>
      </c>
      <c r="Z290" s="46">
        <f t="shared" ref="Z290:Z294" si="1347">+IFERROR(Z276/Y276-1,"n/a")</f>
        <v>1.4257980838821016E-3</v>
      </c>
      <c r="AA290" s="46">
        <f t="shared" ref="AA290:AA294" si="1348">+IFERROR(AA276/Z276-1,"n/a")</f>
        <v>-2.9345132726071865E-2</v>
      </c>
      <c r="AB290" s="46">
        <f t="shared" ref="AB290:AB294" si="1349">+IFERROR(AB276/AA276-1,"n/a")</f>
        <v>-2.0049163314221574E-2</v>
      </c>
      <c r="AC290" s="46">
        <f t="shared" ref="AC290:AC294" si="1350">+IFERROR(AC276/AB276-1,"n/a")</f>
        <v>0.2168049746060372</v>
      </c>
      <c r="AD290" s="46">
        <f t="shared" ref="AD290:AD294" si="1351">+IFERROR(AD276/AC276-1,"n/a")</f>
        <v>-3.1351811837688759E-3</v>
      </c>
      <c r="AE290" s="46">
        <f t="shared" ref="AE290:AH294" si="1352">+IFERROR(AE276/AD276-1,"n/a")</f>
        <v>5.7876943859795471E-2</v>
      </c>
      <c r="AF290" s="46">
        <f t="shared" si="1352"/>
        <v>-4.5678355342960719E-3</v>
      </c>
      <c r="AG290" s="46">
        <f t="shared" si="1352"/>
        <v>4.5301206521462412E-2</v>
      </c>
      <c r="AH290" s="46">
        <f t="shared" si="1352"/>
        <v>-5.8607050977734776E-2</v>
      </c>
      <c r="AI290" s="168">
        <v>0</v>
      </c>
      <c r="AJ290" s="168">
        <v>-2.5000000000000001E-2</v>
      </c>
      <c r="AK290" s="168">
        <v>3.4000000000000002E-2</v>
      </c>
      <c r="AL290" s="168">
        <v>0</v>
      </c>
      <c r="AM290" s="168">
        <v>0</v>
      </c>
      <c r="AQ290" s="173"/>
      <c r="AR290" s="173"/>
      <c r="AS290" s="173"/>
      <c r="AT290" s="173"/>
      <c r="AU290" s="173"/>
      <c r="AV290" s="173"/>
      <c r="AW290" s="173"/>
      <c r="AX290" s="173"/>
    </row>
    <row r="291" spans="2:50" s="1" customFormat="1" ht="13.5" x14ac:dyDescent="0.35">
      <c r="B291" s="20" t="s">
        <v>226</v>
      </c>
      <c r="H291"/>
      <c r="I291" s="47">
        <f t="shared" ref="I291:I294" si="1353">+IFERROR(I277/H277-1,"n/a")</f>
        <v>-1.8315866680766457E-2</v>
      </c>
      <c r="J291" s="47">
        <f t="shared" si="1331"/>
        <v>-0.1788869630626847</v>
      </c>
      <c r="K291" s="47">
        <f t="shared" si="1332"/>
        <v>-0.14146667675755087</v>
      </c>
      <c r="L291" s="47">
        <f t="shared" si="1333"/>
        <v>0.35832171824919246</v>
      </c>
      <c r="M291" s="47">
        <f t="shared" si="1334"/>
        <v>-0.10487787146900795</v>
      </c>
      <c r="N291" s="47">
        <f t="shared" si="1335"/>
        <v>-8.4422716123061514E-2</v>
      </c>
      <c r="O291" s="47">
        <f t="shared" si="1336"/>
        <v>-7.3643739108863349E-2</v>
      </c>
      <c r="P291" s="47">
        <f t="shared" si="1337"/>
        <v>0.16274881873551994</v>
      </c>
      <c r="Q291" s="47">
        <f t="shared" si="1338"/>
        <v>-4.9582632524249992E-2</v>
      </c>
      <c r="R291" s="47">
        <f t="shared" si="1339"/>
        <v>-7.6504091921513417E-2</v>
      </c>
      <c r="S291" s="47">
        <f t="shared" si="1340"/>
        <v>-2.5205155428946968E-2</v>
      </c>
      <c r="T291" s="47">
        <f t="shared" si="1341"/>
        <v>-7.2902385397425995E-2</v>
      </c>
      <c r="U291" s="47">
        <f t="shared" si="1342"/>
        <v>-0.4337928179085252</v>
      </c>
      <c r="V291" s="47">
        <f t="shared" si="1343"/>
        <v>-0.51259069762740483</v>
      </c>
      <c r="W291" s="47">
        <f t="shared" si="1344"/>
        <v>1.2739431613428662</v>
      </c>
      <c r="X291" s="47">
        <f t="shared" si="1345"/>
        <v>0.9302889620003516</v>
      </c>
      <c r="Y291" s="47">
        <f t="shared" si="1346"/>
        <v>2.805126825544213E-2</v>
      </c>
      <c r="Z291" s="47">
        <f t="shared" si="1347"/>
        <v>2.3624710259548154E-2</v>
      </c>
      <c r="AA291" s="47">
        <f t="shared" si="1348"/>
        <v>0.19305293165074189</v>
      </c>
      <c r="AB291" s="47">
        <f t="shared" si="1349"/>
        <v>0.13440959809164421</v>
      </c>
      <c r="AC291" s="47">
        <f t="shared" si="1350"/>
        <v>2.2567918348849858E-2</v>
      </c>
      <c r="AD291" s="47">
        <f t="shared" si="1351"/>
        <v>-0.10669503877105291</v>
      </c>
      <c r="AE291" s="47">
        <f t="shared" si="1352"/>
        <v>0.61088184617062469</v>
      </c>
      <c r="AF291" s="47">
        <f t="shared" si="1352"/>
        <v>-0.13060404309540119</v>
      </c>
      <c r="AG291" s="47">
        <f t="shared" si="1352"/>
        <v>-8.479765073051726E-2</v>
      </c>
      <c r="AH291" s="47">
        <f t="shared" si="1352"/>
        <v>-0.24834549545594453</v>
      </c>
      <c r="AI291" s="169">
        <v>-0.2</v>
      </c>
      <c r="AJ291" s="169">
        <v>0</v>
      </c>
      <c r="AK291" s="169">
        <v>0</v>
      </c>
      <c r="AL291" s="169">
        <v>0</v>
      </c>
      <c r="AM291" s="169">
        <v>0</v>
      </c>
      <c r="AQ291" s="173"/>
      <c r="AR291" s="173"/>
      <c r="AS291" s="173"/>
      <c r="AT291" s="173"/>
      <c r="AU291" s="173"/>
      <c r="AV291" s="173"/>
      <c r="AW291" s="173"/>
      <c r="AX291" s="173"/>
    </row>
    <row r="292" spans="2:50" s="1" customFormat="1" x14ac:dyDescent="0.2">
      <c r="B292" s="30" t="s">
        <v>223</v>
      </c>
      <c r="H292"/>
      <c r="I292" s="46">
        <f t="shared" si="1353"/>
        <v>0.57082036822838433</v>
      </c>
      <c r="J292" s="46">
        <f t="shared" si="1331"/>
        <v>-0.13227009521572208</v>
      </c>
      <c r="K292" s="46">
        <f t="shared" si="1332"/>
        <v>-3.0920553787291305E-2</v>
      </c>
      <c r="L292" s="46">
        <f t="shared" si="1333"/>
        <v>8.2359986246343331E-2</v>
      </c>
      <c r="M292" s="46">
        <f t="shared" si="1334"/>
        <v>4.1149085638411131E-2</v>
      </c>
      <c r="N292" s="46">
        <f t="shared" si="1335"/>
        <v>-3.2258266963043569E-2</v>
      </c>
      <c r="O292" s="46">
        <f t="shared" si="1336"/>
        <v>-3.4579467132040187E-2</v>
      </c>
      <c r="P292" s="46">
        <f t="shared" si="1337"/>
        <v>-0.25684324940366132</v>
      </c>
      <c r="Q292" s="46">
        <f t="shared" si="1338"/>
        <v>0.63191881939612649</v>
      </c>
      <c r="R292" s="46">
        <f t="shared" si="1339"/>
        <v>-0.10554459391362936</v>
      </c>
      <c r="S292" s="46">
        <f t="shared" si="1340"/>
        <v>0.14441741455282076</v>
      </c>
      <c r="T292" s="46">
        <f t="shared" si="1341"/>
        <v>-0.1297362259876661</v>
      </c>
      <c r="U292" s="46">
        <f t="shared" si="1342"/>
        <v>6.5945145343022871E-2</v>
      </c>
      <c r="V292" s="46">
        <f t="shared" si="1343"/>
        <v>-7.2989657039597922E-2</v>
      </c>
      <c r="W292" s="46">
        <f t="shared" si="1344"/>
        <v>8.9529215340256263E-2</v>
      </c>
      <c r="X292" s="46">
        <f t="shared" si="1345"/>
        <v>1.1197598368513084E-3</v>
      </c>
      <c r="Y292" s="46">
        <f t="shared" si="1346"/>
        <v>0.23719186572522188</v>
      </c>
      <c r="Z292" s="46">
        <f t="shared" si="1347"/>
        <v>3.2395239923506125E-3</v>
      </c>
      <c r="AA292" s="46">
        <f t="shared" si="1348"/>
        <v>-1.0805245222702986E-2</v>
      </c>
      <c r="AB292" s="46">
        <f t="shared" si="1349"/>
        <v>-4.5193388500598397E-3</v>
      </c>
      <c r="AC292" s="46">
        <f t="shared" si="1350"/>
        <v>0.19455020250543043</v>
      </c>
      <c r="AD292" s="46">
        <f t="shared" si="1351"/>
        <v>-1.3292293742436789E-2</v>
      </c>
      <c r="AE292" s="46">
        <f t="shared" si="1352"/>
        <v>0.10698118771866727</v>
      </c>
      <c r="AF292" s="46">
        <f t="shared" si="1352"/>
        <v>-2.0853625149415578E-2</v>
      </c>
      <c r="AG292" s="46">
        <f t="shared" si="1352"/>
        <v>3.0374741378307313E-2</v>
      </c>
      <c r="AH292" s="46">
        <f t="shared" si="1352"/>
        <v>-7.7942788743263769E-2</v>
      </c>
      <c r="AI292" s="46">
        <f t="shared" ref="AI292" si="1354">+IFERROR(AI278/AH278-1,"n/a")</f>
        <v>-1.6614826213953715E-2</v>
      </c>
      <c r="AJ292" s="46">
        <f t="shared" ref="AJ292" si="1355">+IFERROR(AJ278/AI278-1,"n/a")</f>
        <v>-2.3310445727996232E-2</v>
      </c>
      <c r="AK292" s="46">
        <f t="shared" ref="AK292" si="1356">+IFERROR(AK278/AJ278-1,"n/a")</f>
        <v>3.1647365224830359E-2</v>
      </c>
      <c r="AL292" s="46">
        <f t="shared" ref="AL292" si="1357">+IFERROR(AL278/AK278-1,"n/a")</f>
        <v>0</v>
      </c>
      <c r="AM292" s="46">
        <f t="shared" ref="AM292" si="1358">+IFERROR(AM278/AL278-1,"n/a")</f>
        <v>0</v>
      </c>
      <c r="AQ292" s="173"/>
      <c r="AR292" s="173"/>
      <c r="AS292" s="173"/>
      <c r="AT292" s="173"/>
      <c r="AU292" s="173"/>
      <c r="AV292" s="173"/>
      <c r="AW292" s="173"/>
      <c r="AX292" s="173"/>
    </row>
    <row r="293" spans="2:50" s="1" customFormat="1" ht="13.5" x14ac:dyDescent="0.35">
      <c r="B293" s="20" t="s">
        <v>222</v>
      </c>
      <c r="H293"/>
      <c r="I293" s="47" t="str">
        <f t="shared" si="1353"/>
        <v>n/a</v>
      </c>
      <c r="J293" s="47" t="str">
        <f t="shared" si="1331"/>
        <v>n/a</v>
      </c>
      <c r="K293" s="47" t="str">
        <f t="shared" si="1332"/>
        <v>n/a</v>
      </c>
      <c r="L293" s="47" t="str">
        <f t="shared" si="1333"/>
        <v>n/a</v>
      </c>
      <c r="M293" s="47" t="str">
        <f t="shared" si="1334"/>
        <v>n/a</v>
      </c>
      <c r="N293" s="47" t="str">
        <f t="shared" si="1335"/>
        <v>n/a</v>
      </c>
      <c r="O293" s="47" t="str">
        <f t="shared" si="1336"/>
        <v>n/a</v>
      </c>
      <c r="P293" s="47" t="str">
        <f t="shared" si="1337"/>
        <v>n/a</v>
      </c>
      <c r="Q293" s="47" t="str">
        <f t="shared" si="1338"/>
        <v>n/a</v>
      </c>
      <c r="R293" s="47" t="str">
        <f t="shared" si="1339"/>
        <v>n/a</v>
      </c>
      <c r="S293" s="47">
        <f t="shared" si="1340"/>
        <v>0</v>
      </c>
      <c r="T293" s="47">
        <f t="shared" si="1341"/>
        <v>0</v>
      </c>
      <c r="U293" s="47">
        <f t="shared" si="1342"/>
        <v>0</v>
      </c>
      <c r="V293" s="47">
        <f t="shared" si="1343"/>
        <v>0</v>
      </c>
      <c r="W293" s="47">
        <f t="shared" si="1344"/>
        <v>0</v>
      </c>
      <c r="X293" s="47">
        <f t="shared" si="1345"/>
        <v>0</v>
      </c>
      <c r="Y293" s="47">
        <f t="shared" si="1346"/>
        <v>0</v>
      </c>
      <c r="Z293" s="47">
        <f t="shared" si="1347"/>
        <v>0</v>
      </c>
      <c r="AA293" s="47">
        <f t="shared" si="1348"/>
        <v>0</v>
      </c>
      <c r="AB293" s="47" t="str">
        <f t="shared" si="1349"/>
        <v>n/a</v>
      </c>
      <c r="AC293" s="47" t="str">
        <f t="shared" si="1350"/>
        <v>n/a</v>
      </c>
      <c r="AD293" s="47" t="str">
        <f t="shared" si="1351"/>
        <v>n/a</v>
      </c>
      <c r="AE293" s="47" t="str">
        <f t="shared" si="1352"/>
        <v>n/a</v>
      </c>
      <c r="AF293" s="47" t="str">
        <f t="shared" si="1352"/>
        <v>n/a</v>
      </c>
      <c r="AG293" s="47" t="str">
        <f t="shared" si="1352"/>
        <v>n/a</v>
      </c>
      <c r="AH293" s="47" t="str">
        <f t="shared" si="1352"/>
        <v>n/a</v>
      </c>
      <c r="AI293" s="47" t="str">
        <f t="shared" ref="AI293:AI294" si="1359">+IFERROR(AI279/AH279-1,"n/a")</f>
        <v>n/a</v>
      </c>
      <c r="AJ293" s="47" t="str">
        <f t="shared" ref="AJ293:AJ294" si="1360">+IFERROR(AJ279/AI279-1,"n/a")</f>
        <v>n/a</v>
      </c>
      <c r="AK293" s="47" t="str">
        <f t="shared" ref="AK293:AK294" si="1361">+IFERROR(AK279/AJ279-1,"n/a")</f>
        <v>n/a</v>
      </c>
      <c r="AL293" s="47" t="str">
        <f t="shared" ref="AL293:AL294" si="1362">+IFERROR(AL279/AK279-1,"n/a")</f>
        <v>n/a</v>
      </c>
      <c r="AM293" s="47" t="str">
        <f t="shared" ref="AM293:AM294" si="1363">+IFERROR(AM279/AL279-1,"n/a")</f>
        <v>n/a</v>
      </c>
      <c r="AQ293" s="173"/>
      <c r="AR293" s="173"/>
      <c r="AS293" s="173"/>
      <c r="AT293" s="173"/>
      <c r="AU293" s="173"/>
      <c r="AV293" s="173"/>
      <c r="AW293" s="173"/>
      <c r="AX293" s="173"/>
    </row>
    <row r="294" spans="2:50" s="1" customFormat="1" x14ac:dyDescent="0.2">
      <c r="B294" s="30" t="s">
        <v>383</v>
      </c>
      <c r="H294"/>
      <c r="I294" s="46">
        <f t="shared" si="1353"/>
        <v>0.57082036822838433</v>
      </c>
      <c r="J294" s="46">
        <f t="shared" si="1331"/>
        <v>-0.13227009521572208</v>
      </c>
      <c r="K294" s="46">
        <f t="shared" si="1332"/>
        <v>-3.0920553787291305E-2</v>
      </c>
      <c r="L294" s="46">
        <f t="shared" si="1333"/>
        <v>8.2359986246343331E-2</v>
      </c>
      <c r="M294" s="46">
        <f t="shared" si="1334"/>
        <v>4.1149085638411131E-2</v>
      </c>
      <c r="N294" s="46">
        <f t="shared" si="1335"/>
        <v>-3.2258266963043569E-2</v>
      </c>
      <c r="O294" s="46">
        <f t="shared" si="1336"/>
        <v>-3.4579467132040187E-2</v>
      </c>
      <c r="P294" s="46">
        <f t="shared" si="1337"/>
        <v>-0.25684324940366132</v>
      </c>
      <c r="Q294" s="46">
        <f t="shared" si="1338"/>
        <v>0.63191881939612649</v>
      </c>
      <c r="R294" s="46">
        <f t="shared" si="1339"/>
        <v>-8.0939298658864622E-2</v>
      </c>
      <c r="S294" s="46">
        <f t="shared" si="1340"/>
        <v>0.39020470897170423</v>
      </c>
      <c r="T294" s="46">
        <f t="shared" si="1341"/>
        <v>-8.1318818734451348E-2</v>
      </c>
      <c r="U294" s="46">
        <f t="shared" si="1342"/>
        <v>-0.11054650254833986</v>
      </c>
      <c r="V294" s="46">
        <f t="shared" si="1343"/>
        <v>-0.15320838594947994</v>
      </c>
      <c r="W294" s="46">
        <f t="shared" si="1344"/>
        <v>8.8460019578050275E-2</v>
      </c>
      <c r="X294" s="46">
        <f t="shared" si="1345"/>
        <v>-1.1261888451652435E-4</v>
      </c>
      <c r="Y294" s="46">
        <f t="shared" si="1346"/>
        <v>0.23678246661435454</v>
      </c>
      <c r="Z294" s="46">
        <f t="shared" si="1347"/>
        <v>3.2095829958529443E-3</v>
      </c>
      <c r="AA294" s="46">
        <f t="shared" si="1348"/>
        <v>-1.0926003520311367E-2</v>
      </c>
      <c r="AB294" s="46">
        <f t="shared" si="1349"/>
        <v>-6.1294638546037783E-3</v>
      </c>
      <c r="AC294" s="46">
        <f t="shared" si="1350"/>
        <v>0.19455020250543043</v>
      </c>
      <c r="AD294" s="46">
        <f t="shared" si="1351"/>
        <v>-1.3292293742436789E-2</v>
      </c>
      <c r="AE294" s="46">
        <f t="shared" si="1352"/>
        <v>0.10698118771866727</v>
      </c>
      <c r="AF294" s="46">
        <f t="shared" si="1352"/>
        <v>-2.0853625149415578E-2</v>
      </c>
      <c r="AG294" s="46">
        <f t="shared" si="1352"/>
        <v>3.0374741378307313E-2</v>
      </c>
      <c r="AH294" s="46">
        <f t="shared" si="1352"/>
        <v>-7.7942788743263769E-2</v>
      </c>
      <c r="AI294" s="46">
        <f t="shared" si="1359"/>
        <v>-1.6614826213953715E-2</v>
      </c>
      <c r="AJ294" s="46">
        <f t="shared" si="1360"/>
        <v>-2.3310445727996232E-2</v>
      </c>
      <c r="AK294" s="46">
        <f t="shared" si="1361"/>
        <v>3.1647365224830359E-2</v>
      </c>
      <c r="AL294" s="46">
        <f t="shared" si="1362"/>
        <v>0</v>
      </c>
      <c r="AM294" s="46">
        <f t="shared" si="1363"/>
        <v>0</v>
      </c>
      <c r="AQ294" s="173"/>
      <c r="AR294" s="173"/>
      <c r="AS294" s="173"/>
      <c r="AT294" s="173"/>
      <c r="AU294" s="173"/>
      <c r="AV294" s="173"/>
      <c r="AW294" s="173"/>
      <c r="AX294" s="173"/>
    </row>
    <row r="295" spans="2:50" x14ac:dyDescent="0.2">
      <c r="B295" s="181"/>
    </row>
    <row r="296" spans="2:50" x14ac:dyDescent="0.2">
      <c r="B296" s="24" t="s">
        <v>371</v>
      </c>
    </row>
    <row r="297" spans="2:50" x14ac:dyDescent="0.2">
      <c r="B297" s="184" t="s">
        <v>225</v>
      </c>
      <c r="H297" s="182">
        <v>0</v>
      </c>
      <c r="I297" s="182">
        <v>0</v>
      </c>
      <c r="J297" s="182">
        <v>0</v>
      </c>
      <c r="K297" s="182">
        <v>0</v>
      </c>
      <c r="L297" s="182">
        <v>0</v>
      </c>
      <c r="M297" s="182">
        <v>0</v>
      </c>
      <c r="N297" s="182">
        <v>0</v>
      </c>
      <c r="O297" s="182">
        <v>0</v>
      </c>
      <c r="P297" s="182">
        <v>0</v>
      </c>
      <c r="Q297" s="182">
        <v>0</v>
      </c>
      <c r="R297" s="182">
        <v>0</v>
      </c>
      <c r="S297" s="182">
        <v>0</v>
      </c>
      <c r="T297" s="182">
        <v>0</v>
      </c>
      <c r="U297" s="182">
        <v>0</v>
      </c>
      <c r="V297" s="182">
        <v>0</v>
      </c>
      <c r="W297" s="182">
        <v>0</v>
      </c>
      <c r="X297" s="182">
        <v>0</v>
      </c>
      <c r="Y297" s="182">
        <v>0</v>
      </c>
      <c r="Z297" s="182">
        <v>0</v>
      </c>
      <c r="AA297" s="182">
        <v>0</v>
      </c>
      <c r="AB297" s="182">
        <v>0</v>
      </c>
      <c r="AC297" s="182">
        <v>0</v>
      </c>
      <c r="AD297" s="182">
        <v>0</v>
      </c>
      <c r="AE297" s="182">
        <v>0</v>
      </c>
      <c r="AF297" s="182">
        <v>0</v>
      </c>
      <c r="AG297" s="182">
        <v>0</v>
      </c>
      <c r="AH297" s="182">
        <v>0</v>
      </c>
      <c r="AI297" s="182">
        <v>0</v>
      </c>
      <c r="AJ297" s="182">
        <v>0</v>
      </c>
      <c r="AK297" s="182">
        <v>0</v>
      </c>
      <c r="AL297" s="182">
        <v>0</v>
      </c>
      <c r="AM297" s="182">
        <v>0</v>
      </c>
      <c r="AO297" s="182">
        <v>0</v>
      </c>
      <c r="AP297" s="182">
        <v>0</v>
      </c>
      <c r="AQ297" s="186" t="str">
        <f t="shared" ref="AQ297:AW299" si="1364">+IFERROR(AQ170/(AQ$224*1000),"n/a")</f>
        <v>n/a</v>
      </c>
      <c r="AR297" s="186" t="str">
        <f t="shared" si="1364"/>
        <v>n/a</v>
      </c>
      <c r="AS297" s="186">
        <f t="shared" si="1364"/>
        <v>0</v>
      </c>
      <c r="AT297" s="186">
        <f t="shared" si="1364"/>
        <v>0</v>
      </c>
      <c r="AU297" s="186">
        <f t="shared" si="1364"/>
        <v>0</v>
      </c>
      <c r="AV297" s="186">
        <f t="shared" si="1364"/>
        <v>0</v>
      </c>
      <c r="AW297" s="186">
        <f t="shared" si="1364"/>
        <v>0</v>
      </c>
      <c r="AX297" s="186">
        <f t="shared" ref="AX297" si="1365">+IFERROR(AX170/(AX$224*1000),"n/a")</f>
        <v>0</v>
      </c>
    </row>
    <row r="298" spans="2:50" ht="13.5" x14ac:dyDescent="0.35">
      <c r="B298" s="184" t="s">
        <v>226</v>
      </c>
      <c r="H298" s="183">
        <v>0</v>
      </c>
      <c r="I298" s="183">
        <v>0</v>
      </c>
      <c r="J298" s="183">
        <v>0</v>
      </c>
      <c r="K298" s="183">
        <v>0</v>
      </c>
      <c r="L298" s="183">
        <v>0</v>
      </c>
      <c r="M298" s="183">
        <v>0</v>
      </c>
      <c r="N298" s="183">
        <v>0</v>
      </c>
      <c r="O298" s="183">
        <v>0</v>
      </c>
      <c r="P298" s="183">
        <v>0</v>
      </c>
      <c r="Q298" s="183">
        <v>0</v>
      </c>
      <c r="R298" s="183">
        <v>0</v>
      </c>
      <c r="S298" s="183">
        <v>0.12</v>
      </c>
      <c r="T298" s="183">
        <v>0.12</v>
      </c>
      <c r="U298" s="183">
        <v>0.12</v>
      </c>
      <c r="V298" s="183">
        <v>0.12</v>
      </c>
      <c r="W298" s="183">
        <v>0.12</v>
      </c>
      <c r="X298" s="183">
        <v>0.115</v>
      </c>
      <c r="Y298" s="183">
        <v>0.106</v>
      </c>
      <c r="Z298" s="183">
        <v>0.111</v>
      </c>
      <c r="AA298" s="183">
        <v>0.11899999999999999</v>
      </c>
      <c r="AB298" s="183">
        <v>0.13600000000000001</v>
      </c>
      <c r="AC298" s="183">
        <v>0.128</v>
      </c>
      <c r="AD298" s="183">
        <v>0.13200000000000001</v>
      </c>
      <c r="AE298" s="183">
        <v>0.13500000000000001</v>
      </c>
      <c r="AF298" s="183">
        <v>0.13500000000000001</v>
      </c>
      <c r="AG298" s="183">
        <v>0.13500000000000001</v>
      </c>
      <c r="AH298" s="183">
        <v>0.13500000000000001</v>
      </c>
      <c r="AI298" s="188">
        <f t="shared" ref="AI298" si="1366">+AH298*(1+AI308)</f>
        <v>0.13500000000000001</v>
      </c>
      <c r="AJ298" s="188">
        <f t="shared" ref="AJ298" si="1367">+AI298*(1+AJ308)</f>
        <v>0.13500000000000001</v>
      </c>
      <c r="AK298" s="188">
        <f t="shared" ref="AK298" si="1368">+AJ298*(1+AK308)</f>
        <v>0.13500000000000001</v>
      </c>
      <c r="AL298" s="188">
        <f t="shared" ref="AL298" si="1369">+AK298*(1+AL308)</f>
        <v>0.13500000000000001</v>
      </c>
      <c r="AM298" s="188">
        <f t="shared" ref="AM298" si="1370">+AL298*(1+AM308)</f>
        <v>0.13500000000000001</v>
      </c>
      <c r="AO298" s="183">
        <v>0</v>
      </c>
      <c r="AP298" s="183">
        <v>0</v>
      </c>
      <c r="AQ298" s="187" t="str">
        <f t="shared" si="1364"/>
        <v>n/a</v>
      </c>
      <c r="AR298" s="187" t="str">
        <f t="shared" si="1364"/>
        <v>n/a</v>
      </c>
      <c r="AS298" s="187">
        <f t="shared" si="1364"/>
        <v>0.12</v>
      </c>
      <c r="AT298" s="187">
        <f t="shared" si="1364"/>
        <v>0.12</v>
      </c>
      <c r="AU298" s="187">
        <f t="shared" si="1364"/>
        <v>0.11278220186272421</v>
      </c>
      <c r="AV298" s="187">
        <f t="shared" si="1364"/>
        <v>0.13267938790243691</v>
      </c>
      <c r="AW298" s="187">
        <f t="shared" si="1364"/>
        <v>0.13500000000000001</v>
      </c>
      <c r="AX298" s="187">
        <f t="shared" ref="AX298" si="1371">+IFERROR(AX171/(AX$224*1000),"n/a")</f>
        <v>0.13500000000000001</v>
      </c>
    </row>
    <row r="299" spans="2:50" s="1" customFormat="1" x14ac:dyDescent="0.2">
      <c r="B299" s="38" t="s">
        <v>384</v>
      </c>
      <c r="H299" s="185" t="str">
        <f t="shared" ref="H299:AE299" si="1372">+IFERROR(H172/(H224*1000),"n/a")</f>
        <v>n/a</v>
      </c>
      <c r="I299" s="185" t="str">
        <f t="shared" si="1372"/>
        <v>n/a</v>
      </c>
      <c r="J299" s="185" t="str">
        <f t="shared" si="1372"/>
        <v>n/a</v>
      </c>
      <c r="K299" s="185" t="str">
        <f t="shared" si="1372"/>
        <v>n/a</v>
      </c>
      <c r="L299" s="185" t="str">
        <f t="shared" si="1372"/>
        <v>n/a</v>
      </c>
      <c r="M299" s="185" t="str">
        <f t="shared" si="1372"/>
        <v>n/a</v>
      </c>
      <c r="N299" s="185" t="str">
        <f t="shared" si="1372"/>
        <v>n/a</v>
      </c>
      <c r="O299" s="185" t="str">
        <f t="shared" si="1372"/>
        <v>n/a</v>
      </c>
      <c r="P299" s="185" t="str">
        <f t="shared" si="1372"/>
        <v>n/a</v>
      </c>
      <c r="Q299" s="185" t="str">
        <f t="shared" si="1372"/>
        <v>n/a</v>
      </c>
      <c r="R299" s="185" t="str">
        <f t="shared" si="1372"/>
        <v>n/a</v>
      </c>
      <c r="S299" s="185">
        <f t="shared" si="1372"/>
        <v>0.12</v>
      </c>
      <c r="T299" s="185">
        <f t="shared" si="1372"/>
        <v>0.12</v>
      </c>
      <c r="U299" s="185">
        <f t="shared" si="1372"/>
        <v>0.12</v>
      </c>
      <c r="V299" s="185">
        <f t="shared" si="1372"/>
        <v>0.11999999999999998</v>
      </c>
      <c r="W299" s="185">
        <f t="shared" si="1372"/>
        <v>0.12</v>
      </c>
      <c r="X299" s="185">
        <f t="shared" si="1372"/>
        <v>0.115</v>
      </c>
      <c r="Y299" s="185">
        <f t="shared" si="1372"/>
        <v>0.106</v>
      </c>
      <c r="Z299" s="185">
        <f t="shared" si="1372"/>
        <v>0.11100000000000002</v>
      </c>
      <c r="AA299" s="185">
        <f t="shared" si="1372"/>
        <v>0.11899999999999999</v>
      </c>
      <c r="AB299" s="185">
        <f t="shared" si="1372"/>
        <v>0.13600000000000001</v>
      </c>
      <c r="AC299" s="185">
        <f t="shared" si="1372"/>
        <v>0.128</v>
      </c>
      <c r="AD299" s="185">
        <f t="shared" si="1372"/>
        <v>0.13200000000000001</v>
      </c>
      <c r="AE299" s="185">
        <f t="shared" si="1372"/>
        <v>0.13500000000000001</v>
      </c>
      <c r="AF299" s="185">
        <f t="shared" ref="AF299:AG299" si="1373">+IFERROR(AF172/(AF224*1000),"n/a")</f>
        <v>0.13500000000000001</v>
      </c>
      <c r="AG299" s="185">
        <f t="shared" si="1373"/>
        <v>0.13500000000000001</v>
      </c>
      <c r="AH299" s="185">
        <f t="shared" ref="AH299" si="1374">+IFERROR(AH172/(AH224*1000),"n/a")</f>
        <v>0.13500000000000001</v>
      </c>
      <c r="AI299" s="185">
        <f t="shared" ref="AI299" si="1375">+IFERROR(AI172/(AI224*1000),"n/a")</f>
        <v>0.13500000000000001</v>
      </c>
      <c r="AJ299" s="185">
        <f t="shared" ref="AJ299:AM299" si="1376">+IFERROR(AJ172/(AJ224*1000),"n/a")</f>
        <v>0.13500000000000001</v>
      </c>
      <c r="AK299" s="185">
        <f t="shared" si="1376"/>
        <v>0.13500000000000001</v>
      </c>
      <c r="AL299" s="185">
        <f t="shared" si="1376"/>
        <v>0.13500000000000001</v>
      </c>
      <c r="AM299" s="185">
        <f t="shared" si="1376"/>
        <v>0.13500000000000001</v>
      </c>
      <c r="AO299" s="185" t="str">
        <f>+IFERROR(AO172/(AO224*1000),"n/a")</f>
        <v>n/a</v>
      </c>
      <c r="AP299" s="185" t="str">
        <f>+IFERROR(AP172/(AP224*1000),"n/a")</f>
        <v>n/a</v>
      </c>
      <c r="AQ299" s="185" t="str">
        <f t="shared" si="1364"/>
        <v>n/a</v>
      </c>
      <c r="AR299" s="185" t="str">
        <f t="shared" si="1364"/>
        <v>n/a</v>
      </c>
      <c r="AS299" s="185">
        <f t="shared" si="1364"/>
        <v>0.12</v>
      </c>
      <c r="AT299" s="185">
        <f t="shared" si="1364"/>
        <v>0.12</v>
      </c>
      <c r="AU299" s="185">
        <f t="shared" si="1364"/>
        <v>0.11278220186272421</v>
      </c>
      <c r="AV299" s="185">
        <f t="shared" si="1364"/>
        <v>0.13267938790243691</v>
      </c>
      <c r="AW299" s="185">
        <f t="shared" si="1364"/>
        <v>0.13500000000000001</v>
      </c>
      <c r="AX299" s="185">
        <f t="shared" ref="AX299" si="1377">+IFERROR(AX172/(AX$224*1000),"n/a")</f>
        <v>0.13500000000000001</v>
      </c>
    </row>
    <row r="300" spans="2:50" s="1" customFormat="1" x14ac:dyDescent="0.2">
      <c r="B300" s="3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row>
    <row r="301" spans="2:50" s="1" customFormat="1" x14ac:dyDescent="0.2">
      <c r="B301" s="19" t="s">
        <v>85</v>
      </c>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row>
    <row r="302" spans="2:50" s="1" customFormat="1" x14ac:dyDescent="0.2">
      <c r="B302" s="20" t="s">
        <v>225</v>
      </c>
      <c r="H302" s="48"/>
      <c r="I302" s="48"/>
      <c r="J302" s="48"/>
      <c r="K302" s="48"/>
      <c r="L302" s="173" t="str">
        <f>+IFERROR(L297/H297-1,"n/a")</f>
        <v>n/a</v>
      </c>
      <c r="M302" s="173" t="str">
        <f t="shared" ref="M302:M304" si="1378">+IFERROR(M297/I297-1,"n/a")</f>
        <v>n/a</v>
      </c>
      <c r="N302" s="173" t="str">
        <f t="shared" ref="N302:N304" si="1379">+IFERROR(N297/J297-1,"n/a")</f>
        <v>n/a</v>
      </c>
      <c r="O302" s="173" t="str">
        <f t="shared" ref="O302:O304" si="1380">+IFERROR(O297/K297-1,"n/a")</f>
        <v>n/a</v>
      </c>
      <c r="P302" s="173" t="str">
        <f t="shared" ref="P302:P304" si="1381">+IFERROR(P297/L297-1,"n/a")</f>
        <v>n/a</v>
      </c>
      <c r="Q302" s="173" t="str">
        <f t="shared" ref="Q302:Q304" si="1382">+IFERROR(Q297/M297-1,"n/a")</f>
        <v>n/a</v>
      </c>
      <c r="R302" s="173" t="str">
        <f t="shared" ref="R302:R304" si="1383">+IFERROR(R297/N297-1,"n/a")</f>
        <v>n/a</v>
      </c>
      <c r="S302" s="173" t="str">
        <f t="shared" ref="S302:S304" si="1384">+IFERROR(S297/O297-1,"n/a")</f>
        <v>n/a</v>
      </c>
      <c r="T302" s="173" t="str">
        <f t="shared" ref="T302:T304" si="1385">+IFERROR(T297/P297-1,"n/a")</f>
        <v>n/a</v>
      </c>
      <c r="U302" s="173" t="str">
        <f t="shared" ref="U302:U304" si="1386">+IFERROR(U297/Q297-1,"n/a")</f>
        <v>n/a</v>
      </c>
      <c r="V302" s="173" t="str">
        <f t="shared" ref="V302:V304" si="1387">+IFERROR(V297/R297-1,"n/a")</f>
        <v>n/a</v>
      </c>
      <c r="W302" s="173" t="str">
        <f t="shared" ref="W302:W304" si="1388">+IFERROR(W297/S297-1,"n/a")</f>
        <v>n/a</v>
      </c>
      <c r="X302" s="173" t="str">
        <f t="shared" ref="X302:X304" si="1389">+IFERROR(X297/T297-1,"n/a")</f>
        <v>n/a</v>
      </c>
      <c r="Y302" s="173" t="str">
        <f t="shared" ref="Y302:Y304" si="1390">+IFERROR(Y297/U297-1,"n/a")</f>
        <v>n/a</v>
      </c>
      <c r="Z302" s="173" t="str">
        <f t="shared" ref="Z302:Z304" si="1391">+IFERROR(Z297/V297-1,"n/a")</f>
        <v>n/a</v>
      </c>
      <c r="AA302" s="173" t="str">
        <f t="shared" ref="AA302:AA304" si="1392">+IFERROR(AA297/W297-1,"n/a")</f>
        <v>n/a</v>
      </c>
      <c r="AB302" s="173" t="str">
        <f t="shared" ref="AB302:AB304" si="1393">+IFERROR(AB297/X297-1,"n/a")</f>
        <v>n/a</v>
      </c>
      <c r="AC302" s="173" t="str">
        <f t="shared" ref="AC302:AC304" si="1394">+IFERROR(AC297/Y297-1,"n/a")</f>
        <v>n/a</v>
      </c>
      <c r="AD302" s="173" t="str">
        <f t="shared" ref="AD302:AD304" si="1395">+IFERROR(AD297/Z297-1,"n/a")</f>
        <v>n/a</v>
      </c>
      <c r="AE302" s="173" t="str">
        <f t="shared" ref="AE302:AH304" si="1396">+IFERROR(AE297/AA297-1,"n/a")</f>
        <v>n/a</v>
      </c>
      <c r="AF302" s="173" t="str">
        <f t="shared" si="1396"/>
        <v>n/a</v>
      </c>
      <c r="AG302" s="173" t="str">
        <f t="shared" si="1396"/>
        <v>n/a</v>
      </c>
      <c r="AH302" s="173" t="str">
        <f t="shared" si="1396"/>
        <v>n/a</v>
      </c>
      <c r="AI302" s="173" t="str">
        <f t="shared" ref="AI302:AI304" si="1397">+IFERROR(AI297/AE297-1,"n/a")</f>
        <v>n/a</v>
      </c>
      <c r="AJ302" s="173" t="str">
        <f t="shared" ref="AJ302:AJ304" si="1398">+IFERROR(AJ297/AF297-1,"n/a")</f>
        <v>n/a</v>
      </c>
      <c r="AK302" s="173" t="str">
        <f t="shared" ref="AK302:AK304" si="1399">+IFERROR(AK297/AG297-1,"n/a")</f>
        <v>n/a</v>
      </c>
      <c r="AL302" s="173" t="str">
        <f t="shared" ref="AL302:AL304" si="1400">+IFERROR(AL297/AH297-1,"n/a")</f>
        <v>n/a</v>
      </c>
      <c r="AM302" s="173" t="str">
        <f t="shared" ref="AM302:AM304" si="1401">+IFERROR(AM297/AI297-1,"n/a")</f>
        <v>n/a</v>
      </c>
      <c r="AP302" s="173" t="str">
        <f>+IFERROR(AP297/AO297-1,"n/a")</f>
        <v>n/a</v>
      </c>
      <c r="AQ302" s="173" t="str">
        <f t="shared" ref="AQ302:AV302" si="1402">+IFERROR(AQ297/AP297-1,"n/a")</f>
        <v>n/a</v>
      </c>
      <c r="AR302" s="173" t="str">
        <f t="shared" si="1402"/>
        <v>n/a</v>
      </c>
      <c r="AS302" s="173" t="str">
        <f t="shared" si="1402"/>
        <v>n/a</v>
      </c>
      <c r="AT302" s="173" t="str">
        <f t="shared" si="1402"/>
        <v>n/a</v>
      </c>
      <c r="AU302" s="173" t="str">
        <f t="shared" si="1402"/>
        <v>n/a</v>
      </c>
      <c r="AV302" s="173" t="str">
        <f t="shared" si="1402"/>
        <v>n/a</v>
      </c>
      <c r="AW302" s="173" t="str">
        <f t="shared" ref="AW302:AX302" si="1403">+IFERROR(AW297/AV297-1,"n/a")</f>
        <v>n/a</v>
      </c>
      <c r="AX302" s="173" t="str">
        <f t="shared" si="1403"/>
        <v>n/a</v>
      </c>
    </row>
    <row r="303" spans="2:50" s="1" customFormat="1" ht="13.5" x14ac:dyDescent="0.35">
      <c r="B303" s="20" t="s">
        <v>226</v>
      </c>
      <c r="H303" s="48"/>
      <c r="I303" s="48"/>
      <c r="J303" s="48"/>
      <c r="K303" s="48"/>
      <c r="L303" s="180" t="str">
        <f t="shared" ref="L303:L304" si="1404">+IFERROR(L298/H298-1,"n/a")</f>
        <v>n/a</v>
      </c>
      <c r="M303" s="180" t="str">
        <f t="shared" si="1378"/>
        <v>n/a</v>
      </c>
      <c r="N303" s="180" t="str">
        <f t="shared" si="1379"/>
        <v>n/a</v>
      </c>
      <c r="O303" s="180" t="str">
        <f t="shared" si="1380"/>
        <v>n/a</v>
      </c>
      <c r="P303" s="180" t="str">
        <f t="shared" si="1381"/>
        <v>n/a</v>
      </c>
      <c r="Q303" s="180" t="str">
        <f t="shared" si="1382"/>
        <v>n/a</v>
      </c>
      <c r="R303" s="180" t="str">
        <f t="shared" si="1383"/>
        <v>n/a</v>
      </c>
      <c r="S303" s="180" t="str">
        <f t="shared" si="1384"/>
        <v>n/a</v>
      </c>
      <c r="T303" s="180" t="str">
        <f t="shared" si="1385"/>
        <v>n/a</v>
      </c>
      <c r="U303" s="180" t="str">
        <f t="shared" si="1386"/>
        <v>n/a</v>
      </c>
      <c r="V303" s="180" t="str">
        <f t="shared" si="1387"/>
        <v>n/a</v>
      </c>
      <c r="W303" s="180">
        <f t="shared" si="1388"/>
        <v>0</v>
      </c>
      <c r="X303" s="180">
        <f t="shared" si="1389"/>
        <v>-4.166666666666663E-2</v>
      </c>
      <c r="Y303" s="180">
        <f t="shared" si="1390"/>
        <v>-0.1166666666666667</v>
      </c>
      <c r="Z303" s="180">
        <f t="shared" si="1391"/>
        <v>-7.4999999999999956E-2</v>
      </c>
      <c r="AA303" s="180">
        <f t="shared" si="1392"/>
        <v>-8.3333333333333037E-3</v>
      </c>
      <c r="AB303" s="180">
        <f t="shared" si="1393"/>
        <v>0.18260869565217397</v>
      </c>
      <c r="AC303" s="180">
        <f t="shared" si="1394"/>
        <v>0.20754716981132071</v>
      </c>
      <c r="AD303" s="180">
        <f t="shared" si="1395"/>
        <v>0.18918918918918926</v>
      </c>
      <c r="AE303" s="180">
        <f t="shared" si="1396"/>
        <v>0.13445378151260523</v>
      </c>
      <c r="AF303" s="180">
        <f t="shared" si="1396"/>
        <v>-7.3529411764705621E-3</v>
      </c>
      <c r="AG303" s="180">
        <f t="shared" si="1396"/>
        <v>5.46875E-2</v>
      </c>
      <c r="AH303" s="180">
        <f t="shared" si="1396"/>
        <v>2.2727272727272707E-2</v>
      </c>
      <c r="AI303" s="180">
        <f t="shared" si="1397"/>
        <v>0</v>
      </c>
      <c r="AJ303" s="180">
        <f t="shared" si="1398"/>
        <v>0</v>
      </c>
      <c r="AK303" s="180">
        <f t="shared" si="1399"/>
        <v>0</v>
      </c>
      <c r="AL303" s="180">
        <f t="shared" si="1400"/>
        <v>0</v>
      </c>
      <c r="AM303" s="180">
        <f t="shared" si="1401"/>
        <v>0</v>
      </c>
      <c r="AP303" s="180" t="str">
        <f t="shared" ref="AP303:AV303" si="1405">+IFERROR(AP298/AO298-1,"n/a")</f>
        <v>n/a</v>
      </c>
      <c r="AQ303" s="180" t="str">
        <f t="shared" si="1405"/>
        <v>n/a</v>
      </c>
      <c r="AR303" s="180" t="str">
        <f t="shared" si="1405"/>
        <v>n/a</v>
      </c>
      <c r="AS303" s="180" t="str">
        <f t="shared" si="1405"/>
        <v>n/a</v>
      </c>
      <c r="AT303" s="180">
        <f t="shared" si="1405"/>
        <v>0</v>
      </c>
      <c r="AU303" s="180">
        <f t="shared" si="1405"/>
        <v>-6.0148317810631569E-2</v>
      </c>
      <c r="AV303" s="180">
        <f t="shared" si="1405"/>
        <v>0.17642132988262715</v>
      </c>
      <c r="AW303" s="180">
        <f t="shared" ref="AW303:AX303" si="1406">+IFERROR(AW298/AV298-1,"n/a")</f>
        <v>1.749037385723784E-2</v>
      </c>
      <c r="AX303" s="180">
        <f t="shared" si="1406"/>
        <v>0</v>
      </c>
    </row>
    <row r="304" spans="2:50" s="1" customFormat="1" x14ac:dyDescent="0.2">
      <c r="B304" s="30" t="s">
        <v>384</v>
      </c>
      <c r="H304" s="48"/>
      <c r="I304" s="48"/>
      <c r="J304" s="48"/>
      <c r="K304" s="48"/>
      <c r="L304" s="173" t="str">
        <f t="shared" si="1404"/>
        <v>n/a</v>
      </c>
      <c r="M304" s="173" t="str">
        <f t="shared" si="1378"/>
        <v>n/a</v>
      </c>
      <c r="N304" s="173" t="str">
        <f t="shared" si="1379"/>
        <v>n/a</v>
      </c>
      <c r="O304" s="173" t="str">
        <f t="shared" si="1380"/>
        <v>n/a</v>
      </c>
      <c r="P304" s="173" t="str">
        <f t="shared" si="1381"/>
        <v>n/a</v>
      </c>
      <c r="Q304" s="173" t="str">
        <f t="shared" si="1382"/>
        <v>n/a</v>
      </c>
      <c r="R304" s="173" t="str">
        <f t="shared" si="1383"/>
        <v>n/a</v>
      </c>
      <c r="S304" s="173" t="str">
        <f t="shared" si="1384"/>
        <v>n/a</v>
      </c>
      <c r="T304" s="173" t="str">
        <f t="shared" si="1385"/>
        <v>n/a</v>
      </c>
      <c r="U304" s="173" t="str">
        <f t="shared" si="1386"/>
        <v>n/a</v>
      </c>
      <c r="V304" s="173" t="str">
        <f t="shared" si="1387"/>
        <v>n/a</v>
      </c>
      <c r="W304" s="173">
        <f t="shared" si="1388"/>
        <v>0</v>
      </c>
      <c r="X304" s="173">
        <f t="shared" si="1389"/>
        <v>-4.166666666666663E-2</v>
      </c>
      <c r="Y304" s="173">
        <f t="shared" si="1390"/>
        <v>-0.1166666666666667</v>
      </c>
      <c r="Z304" s="173">
        <f t="shared" si="1391"/>
        <v>-7.4999999999999734E-2</v>
      </c>
      <c r="AA304" s="173">
        <f t="shared" si="1392"/>
        <v>-8.3333333333333037E-3</v>
      </c>
      <c r="AB304" s="173">
        <f t="shared" si="1393"/>
        <v>0.18260869565217397</v>
      </c>
      <c r="AC304" s="173">
        <f t="shared" si="1394"/>
        <v>0.20754716981132071</v>
      </c>
      <c r="AD304" s="173">
        <f t="shared" si="1395"/>
        <v>0.18918918918918903</v>
      </c>
      <c r="AE304" s="173">
        <f t="shared" si="1396"/>
        <v>0.13445378151260523</v>
      </c>
      <c r="AF304" s="173">
        <f t="shared" si="1396"/>
        <v>-7.3529411764705621E-3</v>
      </c>
      <c r="AG304" s="173">
        <f t="shared" si="1396"/>
        <v>5.46875E-2</v>
      </c>
      <c r="AH304" s="173">
        <f t="shared" si="1396"/>
        <v>2.2727272727272707E-2</v>
      </c>
      <c r="AI304" s="173">
        <f t="shared" si="1397"/>
        <v>0</v>
      </c>
      <c r="AJ304" s="173">
        <f t="shared" si="1398"/>
        <v>0</v>
      </c>
      <c r="AK304" s="173">
        <f t="shared" si="1399"/>
        <v>0</v>
      </c>
      <c r="AL304" s="173">
        <f t="shared" si="1400"/>
        <v>0</v>
      </c>
      <c r="AM304" s="173">
        <f t="shared" si="1401"/>
        <v>0</v>
      </c>
      <c r="AP304" s="173" t="str">
        <f t="shared" ref="AP304:AV304" si="1407">+IFERROR(AP299/AO299-1,"n/a")</f>
        <v>n/a</v>
      </c>
      <c r="AQ304" s="173" t="str">
        <f t="shared" si="1407"/>
        <v>n/a</v>
      </c>
      <c r="AR304" s="173" t="str">
        <f t="shared" si="1407"/>
        <v>n/a</v>
      </c>
      <c r="AS304" s="173" t="str">
        <f t="shared" si="1407"/>
        <v>n/a</v>
      </c>
      <c r="AT304" s="173">
        <f t="shared" si="1407"/>
        <v>0</v>
      </c>
      <c r="AU304" s="173">
        <f t="shared" si="1407"/>
        <v>-6.0148317810631569E-2</v>
      </c>
      <c r="AV304" s="173">
        <f t="shared" si="1407"/>
        <v>0.17642132988262715</v>
      </c>
      <c r="AW304" s="173">
        <f t="shared" ref="AW304:AX304" si="1408">+IFERROR(AW299/AV299-1,"n/a")</f>
        <v>1.749037385723784E-2</v>
      </c>
      <c r="AX304" s="173">
        <f t="shared" si="1408"/>
        <v>0</v>
      </c>
    </row>
    <row r="305" spans="2:50" s="1" customFormat="1" x14ac:dyDescent="0.2">
      <c r="B305" s="30"/>
      <c r="H305" s="48"/>
      <c r="I305" s="48"/>
      <c r="J305" s="48"/>
      <c r="K305" s="48"/>
      <c r="L305" s="173"/>
      <c r="M305" s="173"/>
      <c r="N305" s="173"/>
      <c r="O305" s="173"/>
      <c r="P305" s="173"/>
      <c r="Q305" s="173"/>
      <c r="R305" s="173"/>
      <c r="S305" s="173"/>
      <c r="T305" s="173"/>
      <c r="U305" s="173"/>
      <c r="V305" s="173"/>
      <c r="W305" s="173"/>
      <c r="X305" s="173"/>
      <c r="Y305" s="173"/>
      <c r="Z305" s="173"/>
      <c r="AA305" s="173"/>
      <c r="AB305" s="173"/>
      <c r="AC305" s="173"/>
      <c r="AD305" s="173"/>
      <c r="AE305" s="173"/>
      <c r="AF305" s="173"/>
      <c r="AG305" s="173"/>
      <c r="AH305" s="173"/>
      <c r="AP305" s="173"/>
      <c r="AQ305" s="173"/>
      <c r="AR305" s="173"/>
      <c r="AS305" s="173"/>
      <c r="AT305" s="173"/>
      <c r="AU305" s="173"/>
      <c r="AV305" s="173"/>
      <c r="AW305" s="173"/>
      <c r="AX305" s="173"/>
    </row>
    <row r="306" spans="2:50" s="1" customFormat="1" x14ac:dyDescent="0.2">
      <c r="B306" s="19" t="s">
        <v>261</v>
      </c>
      <c r="H306" s="48"/>
      <c r="I306" s="48"/>
      <c r="J306" s="48"/>
      <c r="K306" s="48"/>
      <c r="L306" s="173"/>
      <c r="M306" s="173"/>
      <c r="N306" s="173"/>
      <c r="O306" s="173"/>
      <c r="P306" s="173"/>
      <c r="Q306" s="173"/>
      <c r="R306" s="173"/>
      <c r="S306" s="173"/>
      <c r="T306" s="173"/>
      <c r="U306" s="173"/>
      <c r="V306" s="173"/>
      <c r="W306" s="173"/>
      <c r="X306" s="173"/>
      <c r="Y306" s="173"/>
      <c r="Z306" s="173"/>
      <c r="AA306" s="173"/>
      <c r="AB306" s="173"/>
      <c r="AC306" s="173"/>
      <c r="AD306" s="173"/>
      <c r="AE306" s="173"/>
      <c r="AF306" s="173"/>
      <c r="AG306" s="173"/>
      <c r="AH306" s="173"/>
      <c r="AP306" s="173"/>
      <c r="AQ306" s="173"/>
      <c r="AR306" s="173"/>
      <c r="AS306" s="173"/>
      <c r="AT306" s="173"/>
      <c r="AU306" s="173"/>
      <c r="AV306" s="173"/>
      <c r="AW306" s="173"/>
      <c r="AX306" s="173"/>
    </row>
    <row r="307" spans="2:50" s="1" customFormat="1" x14ac:dyDescent="0.2">
      <c r="B307" s="20" t="s">
        <v>225</v>
      </c>
      <c r="H307" s="48"/>
      <c r="I307" s="173" t="str">
        <f>+IFERROR(I297/H297-1,"n/a")</f>
        <v>n/a</v>
      </c>
      <c r="J307" s="173" t="str">
        <f t="shared" ref="J307:AI307" si="1409">+IFERROR(J297/I297-1,"n/a")</f>
        <v>n/a</v>
      </c>
      <c r="K307" s="173" t="str">
        <f t="shared" si="1409"/>
        <v>n/a</v>
      </c>
      <c r="L307" s="173" t="str">
        <f t="shared" si="1409"/>
        <v>n/a</v>
      </c>
      <c r="M307" s="173" t="str">
        <f t="shared" si="1409"/>
        <v>n/a</v>
      </c>
      <c r="N307" s="173" t="str">
        <f t="shared" si="1409"/>
        <v>n/a</v>
      </c>
      <c r="O307" s="173" t="str">
        <f t="shared" si="1409"/>
        <v>n/a</v>
      </c>
      <c r="P307" s="173" t="str">
        <f t="shared" si="1409"/>
        <v>n/a</v>
      </c>
      <c r="Q307" s="173" t="str">
        <f t="shared" si="1409"/>
        <v>n/a</v>
      </c>
      <c r="R307" s="173" t="str">
        <f t="shared" si="1409"/>
        <v>n/a</v>
      </c>
      <c r="S307" s="173" t="str">
        <f t="shared" si="1409"/>
        <v>n/a</v>
      </c>
      <c r="T307" s="173" t="str">
        <f t="shared" si="1409"/>
        <v>n/a</v>
      </c>
      <c r="U307" s="173" t="str">
        <f t="shared" si="1409"/>
        <v>n/a</v>
      </c>
      <c r="V307" s="173" t="str">
        <f t="shared" si="1409"/>
        <v>n/a</v>
      </c>
      <c r="W307" s="173" t="str">
        <f t="shared" si="1409"/>
        <v>n/a</v>
      </c>
      <c r="X307" s="173" t="str">
        <f t="shared" si="1409"/>
        <v>n/a</v>
      </c>
      <c r="Y307" s="173" t="str">
        <f t="shared" si="1409"/>
        <v>n/a</v>
      </c>
      <c r="Z307" s="173" t="str">
        <f t="shared" si="1409"/>
        <v>n/a</v>
      </c>
      <c r="AA307" s="173" t="str">
        <f t="shared" si="1409"/>
        <v>n/a</v>
      </c>
      <c r="AB307" s="173" t="str">
        <f t="shared" si="1409"/>
        <v>n/a</v>
      </c>
      <c r="AC307" s="173" t="str">
        <f t="shared" si="1409"/>
        <v>n/a</v>
      </c>
      <c r="AD307" s="173" t="str">
        <f t="shared" si="1409"/>
        <v>n/a</v>
      </c>
      <c r="AE307" s="173" t="str">
        <f t="shared" si="1409"/>
        <v>n/a</v>
      </c>
      <c r="AF307" s="173" t="str">
        <f t="shared" si="1409"/>
        <v>n/a</v>
      </c>
      <c r="AG307" s="173" t="str">
        <f t="shared" si="1409"/>
        <v>n/a</v>
      </c>
      <c r="AH307" s="173" t="str">
        <f t="shared" si="1409"/>
        <v>n/a</v>
      </c>
      <c r="AI307" s="173" t="str">
        <f t="shared" si="1409"/>
        <v>n/a</v>
      </c>
      <c r="AJ307" s="173" t="str">
        <f t="shared" ref="AJ307" si="1410">+IFERROR(AJ297/AI297-1,"n/a")</f>
        <v>n/a</v>
      </c>
      <c r="AK307" s="173" t="str">
        <f t="shared" ref="AK307" si="1411">+IFERROR(AK297/AJ297-1,"n/a")</f>
        <v>n/a</v>
      </c>
      <c r="AL307" s="173" t="str">
        <f t="shared" ref="AL307" si="1412">+IFERROR(AL297/AK297-1,"n/a")</f>
        <v>n/a</v>
      </c>
      <c r="AM307" s="173" t="str">
        <f t="shared" ref="AM307" si="1413">+IFERROR(AM297/AL297-1,"n/a")</f>
        <v>n/a</v>
      </c>
      <c r="AP307" s="173"/>
      <c r="AQ307" s="173"/>
      <c r="AR307" s="173"/>
      <c r="AS307" s="173"/>
      <c r="AT307" s="173"/>
      <c r="AU307" s="173"/>
      <c r="AV307" s="173"/>
      <c r="AW307" s="173"/>
      <c r="AX307" s="173"/>
    </row>
    <row r="308" spans="2:50" s="1" customFormat="1" ht="13.5" x14ac:dyDescent="0.35">
      <c r="B308" s="20" t="s">
        <v>226</v>
      </c>
      <c r="H308" s="48"/>
      <c r="I308" s="180" t="str">
        <f t="shared" ref="I308:AH308" si="1414">+IFERROR(I298/H298-1,"n/a")</f>
        <v>n/a</v>
      </c>
      <c r="J308" s="180" t="str">
        <f t="shared" si="1414"/>
        <v>n/a</v>
      </c>
      <c r="K308" s="180" t="str">
        <f t="shared" si="1414"/>
        <v>n/a</v>
      </c>
      <c r="L308" s="180" t="str">
        <f t="shared" si="1414"/>
        <v>n/a</v>
      </c>
      <c r="M308" s="180" t="str">
        <f t="shared" si="1414"/>
        <v>n/a</v>
      </c>
      <c r="N308" s="180" t="str">
        <f t="shared" si="1414"/>
        <v>n/a</v>
      </c>
      <c r="O308" s="180" t="str">
        <f t="shared" si="1414"/>
        <v>n/a</v>
      </c>
      <c r="P308" s="180" t="str">
        <f t="shared" si="1414"/>
        <v>n/a</v>
      </c>
      <c r="Q308" s="180" t="str">
        <f t="shared" si="1414"/>
        <v>n/a</v>
      </c>
      <c r="R308" s="180" t="str">
        <f t="shared" si="1414"/>
        <v>n/a</v>
      </c>
      <c r="S308" s="180" t="str">
        <f t="shared" si="1414"/>
        <v>n/a</v>
      </c>
      <c r="T308" s="180">
        <f t="shared" si="1414"/>
        <v>0</v>
      </c>
      <c r="U308" s="180">
        <f t="shared" si="1414"/>
        <v>0</v>
      </c>
      <c r="V308" s="180">
        <f t="shared" si="1414"/>
        <v>0</v>
      </c>
      <c r="W308" s="180">
        <f t="shared" si="1414"/>
        <v>0</v>
      </c>
      <c r="X308" s="180">
        <f t="shared" si="1414"/>
        <v>-4.166666666666663E-2</v>
      </c>
      <c r="Y308" s="180">
        <f t="shared" si="1414"/>
        <v>-7.8260869565217495E-2</v>
      </c>
      <c r="Z308" s="180">
        <f t="shared" si="1414"/>
        <v>4.7169811320754818E-2</v>
      </c>
      <c r="AA308" s="180">
        <f t="shared" si="1414"/>
        <v>7.2072072072072002E-2</v>
      </c>
      <c r="AB308" s="180">
        <f t="shared" si="1414"/>
        <v>0.14285714285714302</v>
      </c>
      <c r="AC308" s="180">
        <f t="shared" si="1414"/>
        <v>-5.8823529411764719E-2</v>
      </c>
      <c r="AD308" s="180">
        <f t="shared" si="1414"/>
        <v>3.125E-2</v>
      </c>
      <c r="AE308" s="180">
        <f t="shared" si="1414"/>
        <v>2.2727272727272707E-2</v>
      </c>
      <c r="AF308" s="180">
        <f t="shared" si="1414"/>
        <v>0</v>
      </c>
      <c r="AG308" s="180">
        <f t="shared" si="1414"/>
        <v>0</v>
      </c>
      <c r="AH308" s="180">
        <f t="shared" si="1414"/>
        <v>0</v>
      </c>
      <c r="AI308" s="169">
        <v>0</v>
      </c>
      <c r="AJ308" s="169">
        <v>0</v>
      </c>
      <c r="AK308" s="169">
        <v>0</v>
      </c>
      <c r="AL308" s="169">
        <v>0</v>
      </c>
      <c r="AM308" s="169">
        <v>0</v>
      </c>
      <c r="AP308" s="173"/>
      <c r="AQ308" s="173"/>
      <c r="AR308" s="173"/>
      <c r="AS308" s="173"/>
      <c r="AT308" s="173"/>
      <c r="AU308" s="173"/>
      <c r="AV308" s="173"/>
      <c r="AW308" s="173"/>
      <c r="AX308" s="173"/>
    </row>
    <row r="309" spans="2:50" s="1" customFormat="1" x14ac:dyDescent="0.2">
      <c r="B309" s="30" t="s">
        <v>384</v>
      </c>
      <c r="H309" s="48"/>
      <c r="I309" s="173" t="str">
        <f t="shared" ref="I309:AI309" si="1415">+IFERROR(I299/H299-1,"n/a")</f>
        <v>n/a</v>
      </c>
      <c r="J309" s="173" t="str">
        <f t="shared" si="1415"/>
        <v>n/a</v>
      </c>
      <c r="K309" s="173" t="str">
        <f t="shared" si="1415"/>
        <v>n/a</v>
      </c>
      <c r="L309" s="173" t="str">
        <f t="shared" si="1415"/>
        <v>n/a</v>
      </c>
      <c r="M309" s="173" t="str">
        <f t="shared" si="1415"/>
        <v>n/a</v>
      </c>
      <c r="N309" s="173" t="str">
        <f t="shared" si="1415"/>
        <v>n/a</v>
      </c>
      <c r="O309" s="173" t="str">
        <f t="shared" si="1415"/>
        <v>n/a</v>
      </c>
      <c r="P309" s="173" t="str">
        <f t="shared" si="1415"/>
        <v>n/a</v>
      </c>
      <c r="Q309" s="173" t="str">
        <f t="shared" si="1415"/>
        <v>n/a</v>
      </c>
      <c r="R309" s="173" t="str">
        <f t="shared" si="1415"/>
        <v>n/a</v>
      </c>
      <c r="S309" s="173" t="str">
        <f t="shared" si="1415"/>
        <v>n/a</v>
      </c>
      <c r="T309" s="173">
        <f t="shared" si="1415"/>
        <v>0</v>
      </c>
      <c r="U309" s="173">
        <f t="shared" si="1415"/>
        <v>0</v>
      </c>
      <c r="V309" s="173">
        <f t="shared" si="1415"/>
        <v>-1.1102230246251565E-16</v>
      </c>
      <c r="W309" s="173">
        <f t="shared" si="1415"/>
        <v>2.2204460492503131E-16</v>
      </c>
      <c r="X309" s="173">
        <f t="shared" si="1415"/>
        <v>-4.166666666666663E-2</v>
      </c>
      <c r="Y309" s="173">
        <f t="shared" si="1415"/>
        <v>-7.8260869565217495E-2</v>
      </c>
      <c r="Z309" s="173">
        <f t="shared" si="1415"/>
        <v>4.7169811320754818E-2</v>
      </c>
      <c r="AA309" s="173">
        <f t="shared" si="1415"/>
        <v>7.207207207207178E-2</v>
      </c>
      <c r="AB309" s="173">
        <f t="shared" si="1415"/>
        <v>0.14285714285714302</v>
      </c>
      <c r="AC309" s="173">
        <f t="shared" si="1415"/>
        <v>-5.8823529411764719E-2</v>
      </c>
      <c r="AD309" s="173">
        <f t="shared" si="1415"/>
        <v>3.125E-2</v>
      </c>
      <c r="AE309" s="173">
        <f t="shared" si="1415"/>
        <v>2.2727272727272707E-2</v>
      </c>
      <c r="AF309" s="173">
        <f t="shared" si="1415"/>
        <v>0</v>
      </c>
      <c r="AG309" s="173">
        <f t="shared" si="1415"/>
        <v>0</v>
      </c>
      <c r="AH309" s="173">
        <f t="shared" si="1415"/>
        <v>0</v>
      </c>
      <c r="AI309" s="173">
        <f t="shared" si="1415"/>
        <v>0</v>
      </c>
      <c r="AJ309" s="173">
        <f t="shared" ref="AJ309" si="1416">+IFERROR(AJ299/AI299-1,"n/a")</f>
        <v>0</v>
      </c>
      <c r="AK309" s="173">
        <f t="shared" ref="AK309" si="1417">+IFERROR(AK299/AJ299-1,"n/a")</f>
        <v>0</v>
      </c>
      <c r="AL309" s="173">
        <f t="shared" ref="AL309" si="1418">+IFERROR(AL299/AK299-1,"n/a")</f>
        <v>0</v>
      </c>
      <c r="AM309" s="173">
        <f t="shared" ref="AM309" si="1419">+IFERROR(AM299/AL299-1,"n/a")</f>
        <v>0</v>
      </c>
      <c r="AP309" s="173"/>
      <c r="AQ309" s="173"/>
      <c r="AR309" s="173"/>
      <c r="AS309" s="173"/>
      <c r="AT309" s="173"/>
      <c r="AU309" s="173"/>
      <c r="AV309" s="173"/>
      <c r="AW309" s="173"/>
      <c r="AX309" s="173"/>
    </row>
    <row r="311" spans="2:50" x14ac:dyDescent="0.2">
      <c r="B311" s="24" t="s">
        <v>372</v>
      </c>
    </row>
    <row r="312" spans="2:50" x14ac:dyDescent="0.2">
      <c r="B312" s="184" t="s">
        <v>225</v>
      </c>
      <c r="H312" s="182">
        <v>0</v>
      </c>
      <c r="I312" s="182">
        <v>0</v>
      </c>
      <c r="J312" s="182">
        <v>0</v>
      </c>
      <c r="K312" s="182">
        <v>0</v>
      </c>
      <c r="L312" s="182">
        <v>0</v>
      </c>
      <c r="M312" s="182">
        <v>0</v>
      </c>
      <c r="N312" s="182">
        <v>0</v>
      </c>
      <c r="O312" s="182">
        <v>0</v>
      </c>
      <c r="P312" s="182">
        <v>0</v>
      </c>
      <c r="Q312" s="182">
        <v>0</v>
      </c>
      <c r="R312" s="182">
        <v>0</v>
      </c>
      <c r="S312" s="182">
        <v>0</v>
      </c>
      <c r="T312" s="182">
        <v>0</v>
      </c>
      <c r="U312" s="182">
        <v>0</v>
      </c>
      <c r="V312" s="182">
        <v>0</v>
      </c>
      <c r="W312" s="182">
        <v>0</v>
      </c>
      <c r="X312" s="182">
        <v>0</v>
      </c>
      <c r="Y312" s="182">
        <v>0</v>
      </c>
      <c r="Z312" s="182">
        <v>0</v>
      </c>
      <c r="AA312" s="182">
        <v>0</v>
      </c>
      <c r="AB312" s="182">
        <v>0</v>
      </c>
      <c r="AC312" s="182">
        <v>0</v>
      </c>
      <c r="AD312" s="182">
        <v>0</v>
      </c>
      <c r="AE312" s="182">
        <v>0</v>
      </c>
      <c r="AF312" s="182">
        <v>0</v>
      </c>
      <c r="AG312" s="182">
        <v>0</v>
      </c>
      <c r="AH312" s="182">
        <v>0</v>
      </c>
      <c r="AI312" s="182">
        <v>0</v>
      </c>
      <c r="AJ312" s="182">
        <v>0</v>
      </c>
      <c r="AK312" s="182">
        <v>0</v>
      </c>
      <c r="AL312" s="182">
        <v>0</v>
      </c>
      <c r="AM312" s="182">
        <v>0</v>
      </c>
      <c r="AO312" s="182">
        <v>0</v>
      </c>
      <c r="AP312" s="182">
        <v>0</v>
      </c>
      <c r="AQ312" s="186" t="str">
        <f t="shared" ref="AQ312:AW314" si="1420">+IFERROR(AQ185/(AQ$226*1000),"n/a")</f>
        <v>n/a</v>
      </c>
      <c r="AR312" s="186" t="str">
        <f t="shared" si="1420"/>
        <v>n/a</v>
      </c>
      <c r="AS312" s="186" t="str">
        <f t="shared" si="1420"/>
        <v>n/a</v>
      </c>
      <c r="AT312" s="186" t="str">
        <f t="shared" si="1420"/>
        <v>n/a</v>
      </c>
      <c r="AU312" s="186">
        <f t="shared" si="1420"/>
        <v>0</v>
      </c>
      <c r="AV312" s="186">
        <f t="shared" si="1420"/>
        <v>0</v>
      </c>
      <c r="AW312" s="186">
        <f t="shared" si="1420"/>
        <v>0</v>
      </c>
      <c r="AX312" s="186">
        <f t="shared" ref="AX312" si="1421">+IFERROR(AX185/(AX$226*1000),"n/a")</f>
        <v>0</v>
      </c>
    </row>
    <row r="313" spans="2:50" ht="13.5" x14ac:dyDescent="0.35">
      <c r="B313" s="184" t="s">
        <v>226</v>
      </c>
      <c r="H313" s="183">
        <v>0</v>
      </c>
      <c r="I313" s="183">
        <v>0</v>
      </c>
      <c r="J313" s="183">
        <v>0</v>
      </c>
      <c r="K313" s="183">
        <v>0</v>
      </c>
      <c r="L313" s="183">
        <v>0</v>
      </c>
      <c r="M313" s="183">
        <v>0</v>
      </c>
      <c r="N313" s="183">
        <v>0</v>
      </c>
      <c r="O313" s="183">
        <v>0</v>
      </c>
      <c r="P313" s="183">
        <v>0</v>
      </c>
      <c r="Q313" s="183">
        <v>0</v>
      </c>
      <c r="R313" s="183">
        <v>0</v>
      </c>
      <c r="S313" s="183">
        <v>0</v>
      </c>
      <c r="T313" s="183">
        <v>0</v>
      </c>
      <c r="U313" s="183">
        <v>0</v>
      </c>
      <c r="V313" s="183">
        <v>0</v>
      </c>
      <c r="W313" s="183">
        <v>0</v>
      </c>
      <c r="X313" s="183">
        <v>0</v>
      </c>
      <c r="Y313" s="183">
        <v>0</v>
      </c>
      <c r="Z313" s="183">
        <v>0</v>
      </c>
      <c r="AA313" s="183">
        <v>0.2</v>
      </c>
      <c r="AB313" s="183">
        <v>0.25</v>
      </c>
      <c r="AC313" s="183">
        <v>0.22</v>
      </c>
      <c r="AD313" s="183">
        <v>0.44</v>
      </c>
      <c r="AE313" s="183">
        <v>0.45</v>
      </c>
      <c r="AF313" s="183">
        <v>0.5</v>
      </c>
      <c r="AG313" s="183">
        <v>0.45</v>
      </c>
      <c r="AH313" s="183">
        <v>0.45</v>
      </c>
      <c r="AI313" s="188">
        <f t="shared" ref="AI313" si="1422">+AH313*(1+AI323)</f>
        <v>0.45</v>
      </c>
      <c r="AJ313" s="188">
        <f t="shared" ref="AJ313" si="1423">+AI313*(1+AJ323)</f>
        <v>0.45</v>
      </c>
      <c r="AK313" s="188">
        <f t="shared" ref="AK313" si="1424">+AJ313*(1+AK323)</f>
        <v>0.45</v>
      </c>
      <c r="AL313" s="188">
        <f t="shared" ref="AL313" si="1425">+AK313*(1+AL323)</f>
        <v>0.45</v>
      </c>
      <c r="AM313" s="188">
        <f t="shared" ref="AM313" si="1426">+AL313*(1+AM323)</f>
        <v>0.45</v>
      </c>
      <c r="AO313" s="183">
        <v>0</v>
      </c>
      <c r="AP313" s="183">
        <v>0</v>
      </c>
      <c r="AQ313" s="187" t="str">
        <f t="shared" si="1420"/>
        <v>n/a</v>
      </c>
      <c r="AR313" s="187" t="str">
        <f t="shared" si="1420"/>
        <v>n/a</v>
      </c>
      <c r="AS313" s="187" t="str">
        <f t="shared" si="1420"/>
        <v>n/a</v>
      </c>
      <c r="AT313" s="187" t="str">
        <f t="shared" si="1420"/>
        <v>n/a</v>
      </c>
      <c r="AU313" s="187">
        <f t="shared" si="1420"/>
        <v>0.19751290797800633</v>
      </c>
      <c r="AV313" s="187">
        <f t="shared" si="1420"/>
        <v>0.4011225178581671</v>
      </c>
      <c r="AW313" s="187">
        <f t="shared" si="1420"/>
        <v>0.46009007543661451</v>
      </c>
      <c r="AX313" s="187">
        <f t="shared" ref="AX313" si="1427">+IFERROR(AX186/(AX$226*1000),"n/a")</f>
        <v>0.45000000000000007</v>
      </c>
    </row>
    <row r="314" spans="2:50" s="1" customFormat="1" x14ac:dyDescent="0.2">
      <c r="B314" s="38" t="s">
        <v>386</v>
      </c>
      <c r="H314" s="185" t="str">
        <f t="shared" ref="H314:AE314" si="1428">+IFERROR(H187/(H226*1000),"n/a")</f>
        <v>n/a</v>
      </c>
      <c r="I314" s="185" t="str">
        <f t="shared" si="1428"/>
        <v>n/a</v>
      </c>
      <c r="J314" s="185" t="str">
        <f t="shared" si="1428"/>
        <v>n/a</v>
      </c>
      <c r="K314" s="185" t="str">
        <f t="shared" si="1428"/>
        <v>n/a</v>
      </c>
      <c r="L314" s="185" t="str">
        <f t="shared" si="1428"/>
        <v>n/a</v>
      </c>
      <c r="M314" s="185" t="str">
        <f t="shared" si="1428"/>
        <v>n/a</v>
      </c>
      <c r="N314" s="185" t="str">
        <f t="shared" si="1428"/>
        <v>n/a</v>
      </c>
      <c r="O314" s="185" t="str">
        <f t="shared" si="1428"/>
        <v>n/a</v>
      </c>
      <c r="P314" s="185" t="str">
        <f t="shared" si="1428"/>
        <v>n/a</v>
      </c>
      <c r="Q314" s="185" t="str">
        <f t="shared" si="1428"/>
        <v>n/a</v>
      </c>
      <c r="R314" s="185" t="str">
        <f t="shared" si="1428"/>
        <v>n/a</v>
      </c>
      <c r="S314" s="185" t="str">
        <f t="shared" si="1428"/>
        <v>n/a</v>
      </c>
      <c r="T314" s="185" t="str">
        <f t="shared" si="1428"/>
        <v>n/a</v>
      </c>
      <c r="U314" s="185" t="str">
        <f t="shared" si="1428"/>
        <v>n/a</v>
      </c>
      <c r="V314" s="185" t="str">
        <f t="shared" si="1428"/>
        <v>n/a</v>
      </c>
      <c r="W314" s="185" t="str">
        <f t="shared" si="1428"/>
        <v>n/a</v>
      </c>
      <c r="X314" s="185" t="str">
        <f t="shared" si="1428"/>
        <v>n/a</v>
      </c>
      <c r="Y314" s="185" t="str">
        <f t="shared" si="1428"/>
        <v>n/a</v>
      </c>
      <c r="Z314" s="185">
        <f t="shared" si="1428"/>
        <v>0</v>
      </c>
      <c r="AA314" s="185">
        <f t="shared" si="1428"/>
        <v>0.2</v>
      </c>
      <c r="AB314" s="185">
        <f t="shared" si="1428"/>
        <v>0.25</v>
      </c>
      <c r="AC314" s="185">
        <f t="shared" si="1428"/>
        <v>0.22</v>
      </c>
      <c r="AD314" s="185">
        <f t="shared" si="1428"/>
        <v>0.44</v>
      </c>
      <c r="AE314" s="185">
        <f t="shared" si="1428"/>
        <v>0.45</v>
      </c>
      <c r="AF314" s="185">
        <f t="shared" ref="AF314:AG314" si="1429">+IFERROR(AF187/(AF226*1000),"n/a")</f>
        <v>0.5</v>
      </c>
      <c r="AG314" s="185">
        <f t="shared" si="1429"/>
        <v>0.45</v>
      </c>
      <c r="AH314" s="185">
        <f t="shared" ref="AH314" si="1430">+IFERROR(AH187/(AH226*1000),"n/a")</f>
        <v>0.45000000000000007</v>
      </c>
      <c r="AI314" s="185">
        <f t="shared" ref="AI314" si="1431">+IFERROR(AI187/(AI226*1000),"n/a")</f>
        <v>0.45</v>
      </c>
      <c r="AJ314" s="185">
        <f t="shared" ref="AJ314:AM314" si="1432">+IFERROR(AJ187/(AJ226*1000),"n/a")</f>
        <v>0.45</v>
      </c>
      <c r="AK314" s="185">
        <f t="shared" si="1432"/>
        <v>0.45</v>
      </c>
      <c r="AL314" s="185">
        <f t="shared" si="1432"/>
        <v>0.45</v>
      </c>
      <c r="AM314" s="185">
        <f t="shared" si="1432"/>
        <v>0.45</v>
      </c>
      <c r="AO314" s="185" t="str">
        <f>+IFERROR(AO187/(AO226*1000),"n/a")</f>
        <v>n/a</v>
      </c>
      <c r="AP314" s="185" t="str">
        <f>+IFERROR(AP187/(AP226*1000),"n/a")</f>
        <v>n/a</v>
      </c>
      <c r="AQ314" s="185" t="str">
        <f t="shared" si="1420"/>
        <v>n/a</v>
      </c>
      <c r="AR314" s="185" t="str">
        <f t="shared" si="1420"/>
        <v>n/a</v>
      </c>
      <c r="AS314" s="185" t="str">
        <f t="shared" si="1420"/>
        <v>n/a</v>
      </c>
      <c r="AT314" s="185" t="str">
        <f t="shared" si="1420"/>
        <v>n/a</v>
      </c>
      <c r="AU314" s="185">
        <f t="shared" si="1420"/>
        <v>0.19751290797800633</v>
      </c>
      <c r="AV314" s="185">
        <f t="shared" si="1420"/>
        <v>0.4011225178581671</v>
      </c>
      <c r="AW314" s="185">
        <f t="shared" si="1420"/>
        <v>0.46009007543661451</v>
      </c>
      <c r="AX314" s="185">
        <f t="shared" ref="AX314" si="1433">+IFERROR(AX187/(AX$226*1000),"n/a")</f>
        <v>0.45000000000000007</v>
      </c>
    </row>
    <row r="315" spans="2:50" s="1" customFormat="1" x14ac:dyDescent="0.2">
      <c r="B315" s="3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row>
    <row r="316" spans="2:50" s="1" customFormat="1" x14ac:dyDescent="0.2">
      <c r="B316" s="19" t="s">
        <v>85</v>
      </c>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row>
    <row r="317" spans="2:50" s="1" customFormat="1" x14ac:dyDescent="0.2">
      <c r="B317" s="20" t="s">
        <v>225</v>
      </c>
      <c r="H317" s="48"/>
      <c r="I317" s="48"/>
      <c r="J317" s="48"/>
      <c r="K317" s="48"/>
      <c r="L317" s="173" t="str">
        <f>+IFERROR(L312/H312-1,"n/a")</f>
        <v>n/a</v>
      </c>
      <c r="M317" s="173" t="str">
        <f t="shared" ref="M317:M319" si="1434">+IFERROR(M312/I312-1,"n/a")</f>
        <v>n/a</v>
      </c>
      <c r="N317" s="173" t="str">
        <f t="shared" ref="N317:N319" si="1435">+IFERROR(N312/J312-1,"n/a")</f>
        <v>n/a</v>
      </c>
      <c r="O317" s="173" t="str">
        <f t="shared" ref="O317:O319" si="1436">+IFERROR(O312/K312-1,"n/a")</f>
        <v>n/a</v>
      </c>
      <c r="P317" s="173" t="str">
        <f t="shared" ref="P317:P319" si="1437">+IFERROR(P312/L312-1,"n/a")</f>
        <v>n/a</v>
      </c>
      <c r="Q317" s="173" t="str">
        <f t="shared" ref="Q317:Q319" si="1438">+IFERROR(Q312/M312-1,"n/a")</f>
        <v>n/a</v>
      </c>
      <c r="R317" s="173" t="str">
        <f t="shared" ref="R317:R319" si="1439">+IFERROR(R312/N312-1,"n/a")</f>
        <v>n/a</v>
      </c>
      <c r="S317" s="173" t="str">
        <f t="shared" ref="S317:S319" si="1440">+IFERROR(S312/O312-1,"n/a")</f>
        <v>n/a</v>
      </c>
      <c r="T317" s="173" t="str">
        <f t="shared" ref="T317:T319" si="1441">+IFERROR(T312/P312-1,"n/a")</f>
        <v>n/a</v>
      </c>
      <c r="U317" s="173" t="str">
        <f t="shared" ref="U317:U319" si="1442">+IFERROR(U312/Q312-1,"n/a")</f>
        <v>n/a</v>
      </c>
      <c r="V317" s="173" t="str">
        <f t="shared" ref="V317:V319" si="1443">+IFERROR(V312/R312-1,"n/a")</f>
        <v>n/a</v>
      </c>
      <c r="W317" s="173" t="str">
        <f t="shared" ref="W317:W319" si="1444">+IFERROR(W312/S312-1,"n/a")</f>
        <v>n/a</v>
      </c>
      <c r="X317" s="173" t="str">
        <f t="shared" ref="X317:X319" si="1445">+IFERROR(X312/T312-1,"n/a")</f>
        <v>n/a</v>
      </c>
      <c r="Y317" s="173" t="str">
        <f t="shared" ref="Y317:Y319" si="1446">+IFERROR(Y312/U312-1,"n/a")</f>
        <v>n/a</v>
      </c>
      <c r="Z317" s="173" t="str">
        <f t="shared" ref="Z317:Z319" si="1447">+IFERROR(Z312/V312-1,"n/a")</f>
        <v>n/a</v>
      </c>
      <c r="AA317" s="173" t="str">
        <f t="shared" ref="AA317:AA319" si="1448">+IFERROR(AA312/W312-1,"n/a")</f>
        <v>n/a</v>
      </c>
      <c r="AB317" s="173" t="str">
        <f t="shared" ref="AB317:AB319" si="1449">+IFERROR(AB312/X312-1,"n/a")</f>
        <v>n/a</v>
      </c>
      <c r="AC317" s="173" t="str">
        <f t="shared" ref="AC317:AC319" si="1450">+IFERROR(AC312/Y312-1,"n/a")</f>
        <v>n/a</v>
      </c>
      <c r="AD317" s="173" t="str">
        <f t="shared" ref="AD317:AD319" si="1451">+IFERROR(AD312/Z312-1,"n/a")</f>
        <v>n/a</v>
      </c>
      <c r="AE317" s="173" t="str">
        <f t="shared" ref="AE317:AH319" si="1452">+IFERROR(AE312/AA312-1,"n/a")</f>
        <v>n/a</v>
      </c>
      <c r="AF317" s="173" t="str">
        <f t="shared" si="1452"/>
        <v>n/a</v>
      </c>
      <c r="AG317" s="173" t="str">
        <f t="shared" si="1452"/>
        <v>n/a</v>
      </c>
      <c r="AH317" s="173" t="str">
        <f t="shared" si="1452"/>
        <v>n/a</v>
      </c>
      <c r="AI317" s="173" t="str">
        <f t="shared" ref="AI317:AI319" si="1453">+IFERROR(AI312/AE312-1,"n/a")</f>
        <v>n/a</v>
      </c>
      <c r="AJ317" s="173" t="str">
        <f t="shared" ref="AJ317:AJ319" si="1454">+IFERROR(AJ312/AF312-1,"n/a")</f>
        <v>n/a</v>
      </c>
      <c r="AK317" s="173" t="str">
        <f t="shared" ref="AK317:AK319" si="1455">+IFERROR(AK312/AG312-1,"n/a")</f>
        <v>n/a</v>
      </c>
      <c r="AL317" s="173" t="str">
        <f t="shared" ref="AL317:AL319" si="1456">+IFERROR(AL312/AH312-1,"n/a")</f>
        <v>n/a</v>
      </c>
      <c r="AM317" s="173" t="str">
        <f t="shared" ref="AM317:AM319" si="1457">+IFERROR(AM312/AI312-1,"n/a")</f>
        <v>n/a</v>
      </c>
      <c r="AP317" s="173" t="str">
        <f>+IFERROR(AP312/AO312-1,"n/a")</f>
        <v>n/a</v>
      </c>
      <c r="AQ317" s="173" t="str">
        <f t="shared" ref="AQ317:AV317" si="1458">+IFERROR(AQ312/AP312-1,"n/a")</f>
        <v>n/a</v>
      </c>
      <c r="AR317" s="173" t="str">
        <f t="shared" si="1458"/>
        <v>n/a</v>
      </c>
      <c r="AS317" s="173" t="str">
        <f t="shared" si="1458"/>
        <v>n/a</v>
      </c>
      <c r="AT317" s="173" t="str">
        <f t="shared" si="1458"/>
        <v>n/a</v>
      </c>
      <c r="AU317" s="173" t="str">
        <f t="shared" si="1458"/>
        <v>n/a</v>
      </c>
      <c r="AV317" s="173" t="str">
        <f t="shared" si="1458"/>
        <v>n/a</v>
      </c>
      <c r="AW317" s="173" t="str">
        <f t="shared" ref="AW317:AX317" si="1459">+IFERROR(AW312/AV312-1,"n/a")</f>
        <v>n/a</v>
      </c>
      <c r="AX317" s="173" t="str">
        <f t="shared" si="1459"/>
        <v>n/a</v>
      </c>
    </row>
    <row r="318" spans="2:50" s="1" customFormat="1" ht="13.5" x14ac:dyDescent="0.35">
      <c r="B318" s="20" t="s">
        <v>226</v>
      </c>
      <c r="H318" s="48"/>
      <c r="I318" s="48"/>
      <c r="J318" s="48"/>
      <c r="K318" s="48"/>
      <c r="L318" s="180" t="str">
        <f t="shared" ref="L318:L319" si="1460">+IFERROR(L313/H313-1,"n/a")</f>
        <v>n/a</v>
      </c>
      <c r="M318" s="180" t="str">
        <f t="shared" si="1434"/>
        <v>n/a</v>
      </c>
      <c r="N318" s="180" t="str">
        <f t="shared" si="1435"/>
        <v>n/a</v>
      </c>
      <c r="O318" s="180" t="str">
        <f t="shared" si="1436"/>
        <v>n/a</v>
      </c>
      <c r="P318" s="180" t="str">
        <f t="shared" si="1437"/>
        <v>n/a</v>
      </c>
      <c r="Q318" s="180" t="str">
        <f t="shared" si="1438"/>
        <v>n/a</v>
      </c>
      <c r="R318" s="180" t="str">
        <f t="shared" si="1439"/>
        <v>n/a</v>
      </c>
      <c r="S318" s="180" t="str">
        <f t="shared" si="1440"/>
        <v>n/a</v>
      </c>
      <c r="T318" s="180" t="str">
        <f t="shared" si="1441"/>
        <v>n/a</v>
      </c>
      <c r="U318" s="180" t="str">
        <f t="shared" si="1442"/>
        <v>n/a</v>
      </c>
      <c r="V318" s="180" t="str">
        <f t="shared" si="1443"/>
        <v>n/a</v>
      </c>
      <c r="W318" s="180" t="str">
        <f t="shared" si="1444"/>
        <v>n/a</v>
      </c>
      <c r="X318" s="180" t="str">
        <f t="shared" si="1445"/>
        <v>n/a</v>
      </c>
      <c r="Y318" s="180" t="str">
        <f t="shared" si="1446"/>
        <v>n/a</v>
      </c>
      <c r="Z318" s="180" t="str">
        <f t="shared" si="1447"/>
        <v>n/a</v>
      </c>
      <c r="AA318" s="180" t="str">
        <f t="shared" si="1448"/>
        <v>n/a</v>
      </c>
      <c r="AB318" s="180" t="str">
        <f t="shared" si="1449"/>
        <v>n/a</v>
      </c>
      <c r="AC318" s="180" t="str">
        <f t="shared" si="1450"/>
        <v>n/a</v>
      </c>
      <c r="AD318" s="180" t="str">
        <f t="shared" si="1451"/>
        <v>n/a</v>
      </c>
      <c r="AE318" s="180">
        <f t="shared" si="1452"/>
        <v>1.25</v>
      </c>
      <c r="AF318" s="180">
        <f t="shared" si="1452"/>
        <v>1</v>
      </c>
      <c r="AG318" s="180">
        <f t="shared" si="1452"/>
        <v>1.0454545454545454</v>
      </c>
      <c r="AH318" s="180">
        <f t="shared" si="1452"/>
        <v>2.2727272727272707E-2</v>
      </c>
      <c r="AI318" s="180">
        <f t="shared" si="1453"/>
        <v>0</v>
      </c>
      <c r="AJ318" s="180">
        <f t="shared" si="1454"/>
        <v>-9.9999999999999978E-2</v>
      </c>
      <c r="AK318" s="180">
        <f t="shared" si="1455"/>
        <v>0</v>
      </c>
      <c r="AL318" s="180">
        <f t="shared" si="1456"/>
        <v>0</v>
      </c>
      <c r="AM318" s="180">
        <f t="shared" si="1457"/>
        <v>0</v>
      </c>
      <c r="AP318" s="180" t="str">
        <f t="shared" ref="AP318:AV318" si="1461">+IFERROR(AP313/AO313-1,"n/a")</f>
        <v>n/a</v>
      </c>
      <c r="AQ318" s="180" t="str">
        <f t="shared" si="1461"/>
        <v>n/a</v>
      </c>
      <c r="AR318" s="180" t="str">
        <f t="shared" si="1461"/>
        <v>n/a</v>
      </c>
      <c r="AS318" s="180" t="str">
        <f t="shared" si="1461"/>
        <v>n/a</v>
      </c>
      <c r="AT318" s="180" t="str">
        <f t="shared" si="1461"/>
        <v>n/a</v>
      </c>
      <c r="AU318" s="180" t="str">
        <f t="shared" si="1461"/>
        <v>n/a</v>
      </c>
      <c r="AV318" s="180">
        <f t="shared" si="1461"/>
        <v>1.0308673593263755</v>
      </c>
      <c r="AW318" s="180">
        <f t="shared" ref="AW318:AX318" si="1462">+IFERROR(AW313/AV313-1,"n/a")</f>
        <v>0.14700635081099511</v>
      </c>
      <c r="AX318" s="180">
        <f t="shared" si="1462"/>
        <v>-2.1930652225087055E-2</v>
      </c>
    </row>
    <row r="319" spans="2:50" s="1" customFormat="1" x14ac:dyDescent="0.2">
      <c r="B319" s="30" t="s">
        <v>386</v>
      </c>
      <c r="H319" s="48"/>
      <c r="I319" s="48"/>
      <c r="J319" s="48"/>
      <c r="K319" s="48"/>
      <c r="L319" s="173" t="str">
        <f t="shared" si="1460"/>
        <v>n/a</v>
      </c>
      <c r="M319" s="173" t="str">
        <f t="shared" si="1434"/>
        <v>n/a</v>
      </c>
      <c r="N319" s="173" t="str">
        <f t="shared" si="1435"/>
        <v>n/a</v>
      </c>
      <c r="O319" s="173" t="str">
        <f t="shared" si="1436"/>
        <v>n/a</v>
      </c>
      <c r="P319" s="173" t="str">
        <f t="shared" si="1437"/>
        <v>n/a</v>
      </c>
      <c r="Q319" s="173" t="str">
        <f t="shared" si="1438"/>
        <v>n/a</v>
      </c>
      <c r="R319" s="173" t="str">
        <f t="shared" si="1439"/>
        <v>n/a</v>
      </c>
      <c r="S319" s="173" t="str">
        <f t="shared" si="1440"/>
        <v>n/a</v>
      </c>
      <c r="T319" s="173" t="str">
        <f t="shared" si="1441"/>
        <v>n/a</v>
      </c>
      <c r="U319" s="173" t="str">
        <f t="shared" si="1442"/>
        <v>n/a</v>
      </c>
      <c r="V319" s="173" t="str">
        <f t="shared" si="1443"/>
        <v>n/a</v>
      </c>
      <c r="W319" s="173" t="str">
        <f t="shared" si="1444"/>
        <v>n/a</v>
      </c>
      <c r="X319" s="173" t="str">
        <f t="shared" si="1445"/>
        <v>n/a</v>
      </c>
      <c r="Y319" s="173" t="str">
        <f t="shared" si="1446"/>
        <v>n/a</v>
      </c>
      <c r="Z319" s="173" t="str">
        <f t="shared" si="1447"/>
        <v>n/a</v>
      </c>
      <c r="AA319" s="173" t="str">
        <f t="shared" si="1448"/>
        <v>n/a</v>
      </c>
      <c r="AB319" s="173" t="str">
        <f t="shared" si="1449"/>
        <v>n/a</v>
      </c>
      <c r="AC319" s="173" t="str">
        <f t="shared" si="1450"/>
        <v>n/a</v>
      </c>
      <c r="AD319" s="173" t="str">
        <f t="shared" si="1451"/>
        <v>n/a</v>
      </c>
      <c r="AE319" s="173">
        <f t="shared" si="1452"/>
        <v>1.25</v>
      </c>
      <c r="AF319" s="173">
        <f t="shared" si="1452"/>
        <v>1</v>
      </c>
      <c r="AG319" s="173">
        <f t="shared" si="1452"/>
        <v>1.0454545454545454</v>
      </c>
      <c r="AH319" s="173">
        <f t="shared" si="1452"/>
        <v>2.2727272727272929E-2</v>
      </c>
      <c r="AI319" s="173">
        <f t="shared" si="1453"/>
        <v>0</v>
      </c>
      <c r="AJ319" s="173">
        <f t="shared" si="1454"/>
        <v>-9.9999999999999978E-2</v>
      </c>
      <c r="AK319" s="173">
        <f t="shared" si="1455"/>
        <v>0</v>
      </c>
      <c r="AL319" s="173">
        <f t="shared" si="1456"/>
        <v>-1.1102230246251565E-16</v>
      </c>
      <c r="AM319" s="173">
        <f t="shared" si="1457"/>
        <v>0</v>
      </c>
      <c r="AP319" s="173" t="str">
        <f t="shared" ref="AP319:AV319" si="1463">+IFERROR(AP314/AO314-1,"n/a")</f>
        <v>n/a</v>
      </c>
      <c r="AQ319" s="173" t="str">
        <f t="shared" si="1463"/>
        <v>n/a</v>
      </c>
      <c r="AR319" s="173" t="str">
        <f t="shared" si="1463"/>
        <v>n/a</v>
      </c>
      <c r="AS319" s="173" t="str">
        <f t="shared" si="1463"/>
        <v>n/a</v>
      </c>
      <c r="AT319" s="173" t="str">
        <f t="shared" si="1463"/>
        <v>n/a</v>
      </c>
      <c r="AU319" s="173" t="str">
        <f t="shared" si="1463"/>
        <v>n/a</v>
      </c>
      <c r="AV319" s="173">
        <f t="shared" si="1463"/>
        <v>1.0308673593263755</v>
      </c>
      <c r="AW319" s="173">
        <f t="shared" ref="AW319:AX319" si="1464">+IFERROR(AW314/AV314-1,"n/a")</f>
        <v>0.14700635081099511</v>
      </c>
      <c r="AX319" s="173">
        <f t="shared" si="1464"/>
        <v>-2.1930652225087055E-2</v>
      </c>
    </row>
    <row r="320" spans="2:50" s="1" customFormat="1" x14ac:dyDescent="0.2">
      <c r="B320" s="30"/>
      <c r="H320" s="48"/>
      <c r="I320" s="48"/>
      <c r="J320" s="48"/>
      <c r="K320" s="48"/>
      <c r="L320" s="173"/>
      <c r="M320" s="173"/>
      <c r="N320" s="173"/>
      <c r="O320" s="173"/>
      <c r="P320" s="173"/>
      <c r="Q320" s="173"/>
      <c r="R320" s="173"/>
      <c r="S320" s="173"/>
      <c r="T320" s="173"/>
      <c r="U320" s="173"/>
      <c r="V320" s="173"/>
      <c r="W320" s="173"/>
      <c r="X320" s="173"/>
      <c r="Y320" s="173"/>
      <c r="Z320" s="173"/>
      <c r="AA320" s="173"/>
      <c r="AB320" s="173"/>
      <c r="AC320" s="173"/>
      <c r="AD320" s="173"/>
      <c r="AE320" s="173"/>
      <c r="AF320" s="173"/>
      <c r="AG320" s="173"/>
      <c r="AH320" s="173"/>
      <c r="AP320" s="173"/>
      <c r="AQ320" s="173"/>
      <c r="AR320" s="173"/>
      <c r="AS320" s="173"/>
      <c r="AT320" s="173"/>
      <c r="AU320" s="173"/>
      <c r="AV320" s="173"/>
      <c r="AW320" s="173"/>
      <c r="AX320" s="173"/>
    </row>
    <row r="321" spans="2:50" s="1" customFormat="1" x14ac:dyDescent="0.2">
      <c r="B321" s="19" t="s">
        <v>261</v>
      </c>
      <c r="H321" s="48"/>
      <c r="I321" s="48"/>
      <c r="J321" s="48"/>
      <c r="K321" s="48"/>
      <c r="L321" s="173"/>
      <c r="M321" s="173"/>
      <c r="N321" s="173"/>
      <c r="O321" s="173"/>
      <c r="P321" s="173"/>
      <c r="Q321" s="173"/>
      <c r="R321" s="173"/>
      <c r="S321" s="173"/>
      <c r="T321" s="173"/>
      <c r="U321" s="173"/>
      <c r="V321" s="173"/>
      <c r="W321" s="173"/>
      <c r="X321" s="173"/>
      <c r="Y321" s="173"/>
      <c r="Z321" s="173"/>
      <c r="AA321" s="173"/>
      <c r="AB321" s="173"/>
      <c r="AC321" s="173"/>
      <c r="AD321" s="173"/>
      <c r="AE321" s="173"/>
      <c r="AF321" s="173"/>
      <c r="AG321" s="173"/>
      <c r="AH321" s="173"/>
      <c r="AP321" s="173"/>
      <c r="AQ321" s="173"/>
      <c r="AR321" s="173"/>
      <c r="AS321" s="173"/>
      <c r="AT321" s="173"/>
      <c r="AU321" s="173"/>
      <c r="AV321" s="173"/>
      <c r="AW321" s="173"/>
      <c r="AX321" s="173"/>
    </row>
    <row r="322" spans="2:50" s="1" customFormat="1" x14ac:dyDescent="0.2">
      <c r="B322" s="20" t="s">
        <v>225</v>
      </c>
      <c r="H322" s="48"/>
      <c r="I322" s="173" t="str">
        <f>+IFERROR(I312/H312-1,"n/a")</f>
        <v>n/a</v>
      </c>
      <c r="J322" s="173" t="str">
        <f t="shared" ref="J322:AI322" si="1465">+IFERROR(J312/I312-1,"n/a")</f>
        <v>n/a</v>
      </c>
      <c r="K322" s="173" t="str">
        <f t="shared" si="1465"/>
        <v>n/a</v>
      </c>
      <c r="L322" s="173" t="str">
        <f t="shared" si="1465"/>
        <v>n/a</v>
      </c>
      <c r="M322" s="173" t="str">
        <f t="shared" si="1465"/>
        <v>n/a</v>
      </c>
      <c r="N322" s="173" t="str">
        <f t="shared" si="1465"/>
        <v>n/a</v>
      </c>
      <c r="O322" s="173" t="str">
        <f t="shared" si="1465"/>
        <v>n/a</v>
      </c>
      <c r="P322" s="173" t="str">
        <f t="shared" si="1465"/>
        <v>n/a</v>
      </c>
      <c r="Q322" s="173" t="str">
        <f t="shared" si="1465"/>
        <v>n/a</v>
      </c>
      <c r="R322" s="173" t="str">
        <f t="shared" si="1465"/>
        <v>n/a</v>
      </c>
      <c r="S322" s="173" t="str">
        <f t="shared" si="1465"/>
        <v>n/a</v>
      </c>
      <c r="T322" s="173" t="str">
        <f t="shared" si="1465"/>
        <v>n/a</v>
      </c>
      <c r="U322" s="173" t="str">
        <f t="shared" si="1465"/>
        <v>n/a</v>
      </c>
      <c r="V322" s="173" t="str">
        <f t="shared" si="1465"/>
        <v>n/a</v>
      </c>
      <c r="W322" s="173" t="str">
        <f t="shared" si="1465"/>
        <v>n/a</v>
      </c>
      <c r="X322" s="173" t="str">
        <f t="shared" si="1465"/>
        <v>n/a</v>
      </c>
      <c r="Y322" s="173" t="str">
        <f t="shared" si="1465"/>
        <v>n/a</v>
      </c>
      <c r="Z322" s="173" t="str">
        <f t="shared" si="1465"/>
        <v>n/a</v>
      </c>
      <c r="AA322" s="173" t="str">
        <f t="shared" si="1465"/>
        <v>n/a</v>
      </c>
      <c r="AB322" s="173" t="str">
        <f t="shared" si="1465"/>
        <v>n/a</v>
      </c>
      <c r="AC322" s="173" t="str">
        <f t="shared" si="1465"/>
        <v>n/a</v>
      </c>
      <c r="AD322" s="173" t="str">
        <f t="shared" si="1465"/>
        <v>n/a</v>
      </c>
      <c r="AE322" s="173" t="str">
        <f t="shared" si="1465"/>
        <v>n/a</v>
      </c>
      <c r="AF322" s="173" t="str">
        <f t="shared" si="1465"/>
        <v>n/a</v>
      </c>
      <c r="AG322" s="173" t="str">
        <f t="shared" si="1465"/>
        <v>n/a</v>
      </c>
      <c r="AH322" s="173" t="str">
        <f t="shared" si="1465"/>
        <v>n/a</v>
      </c>
      <c r="AI322" s="173" t="str">
        <f t="shared" si="1465"/>
        <v>n/a</v>
      </c>
      <c r="AJ322" s="173" t="str">
        <f t="shared" ref="AJ322" si="1466">+IFERROR(AJ312/AI312-1,"n/a")</f>
        <v>n/a</v>
      </c>
      <c r="AK322" s="173" t="str">
        <f t="shared" ref="AK322" si="1467">+IFERROR(AK312/AJ312-1,"n/a")</f>
        <v>n/a</v>
      </c>
      <c r="AL322" s="173" t="str">
        <f t="shared" ref="AL322" si="1468">+IFERROR(AL312/AK312-1,"n/a")</f>
        <v>n/a</v>
      </c>
      <c r="AM322" s="173" t="str">
        <f t="shared" ref="AM322" si="1469">+IFERROR(AM312/AL312-1,"n/a")</f>
        <v>n/a</v>
      </c>
      <c r="AP322" s="173"/>
      <c r="AQ322" s="173"/>
      <c r="AR322" s="173"/>
      <c r="AS322" s="173"/>
      <c r="AT322" s="173"/>
      <c r="AU322" s="173"/>
      <c r="AV322" s="173"/>
      <c r="AW322" s="173"/>
      <c r="AX322" s="173"/>
    </row>
    <row r="323" spans="2:50" s="1" customFormat="1" ht="13.5" x14ac:dyDescent="0.35">
      <c r="B323" s="20" t="s">
        <v>226</v>
      </c>
      <c r="H323" s="48"/>
      <c r="I323" s="180" t="str">
        <f t="shared" ref="I323:AH323" si="1470">+IFERROR(I313/H313-1,"n/a")</f>
        <v>n/a</v>
      </c>
      <c r="J323" s="180" t="str">
        <f t="shared" si="1470"/>
        <v>n/a</v>
      </c>
      <c r="K323" s="180" t="str">
        <f t="shared" si="1470"/>
        <v>n/a</v>
      </c>
      <c r="L323" s="180" t="str">
        <f t="shared" si="1470"/>
        <v>n/a</v>
      </c>
      <c r="M323" s="180" t="str">
        <f t="shared" si="1470"/>
        <v>n/a</v>
      </c>
      <c r="N323" s="180" t="str">
        <f t="shared" si="1470"/>
        <v>n/a</v>
      </c>
      <c r="O323" s="180" t="str">
        <f t="shared" si="1470"/>
        <v>n/a</v>
      </c>
      <c r="P323" s="180" t="str">
        <f t="shared" si="1470"/>
        <v>n/a</v>
      </c>
      <c r="Q323" s="180" t="str">
        <f t="shared" si="1470"/>
        <v>n/a</v>
      </c>
      <c r="R323" s="180" t="str">
        <f t="shared" si="1470"/>
        <v>n/a</v>
      </c>
      <c r="S323" s="180" t="str">
        <f t="shared" si="1470"/>
        <v>n/a</v>
      </c>
      <c r="T323" s="180" t="str">
        <f t="shared" si="1470"/>
        <v>n/a</v>
      </c>
      <c r="U323" s="180" t="str">
        <f t="shared" si="1470"/>
        <v>n/a</v>
      </c>
      <c r="V323" s="180" t="str">
        <f t="shared" si="1470"/>
        <v>n/a</v>
      </c>
      <c r="W323" s="180" t="str">
        <f t="shared" si="1470"/>
        <v>n/a</v>
      </c>
      <c r="X323" s="180" t="str">
        <f t="shared" si="1470"/>
        <v>n/a</v>
      </c>
      <c r="Y323" s="180" t="str">
        <f t="shared" si="1470"/>
        <v>n/a</v>
      </c>
      <c r="Z323" s="180" t="str">
        <f t="shared" si="1470"/>
        <v>n/a</v>
      </c>
      <c r="AA323" s="180" t="str">
        <f t="shared" si="1470"/>
        <v>n/a</v>
      </c>
      <c r="AB323" s="180">
        <f t="shared" si="1470"/>
        <v>0.25</v>
      </c>
      <c r="AC323" s="180">
        <f t="shared" si="1470"/>
        <v>-0.12</v>
      </c>
      <c r="AD323" s="180">
        <f t="shared" si="1470"/>
        <v>1</v>
      </c>
      <c r="AE323" s="180">
        <f t="shared" si="1470"/>
        <v>2.2727272727272707E-2</v>
      </c>
      <c r="AF323" s="180">
        <f t="shared" si="1470"/>
        <v>0.11111111111111116</v>
      </c>
      <c r="AG323" s="180">
        <f t="shared" si="1470"/>
        <v>-9.9999999999999978E-2</v>
      </c>
      <c r="AH323" s="180">
        <f t="shared" si="1470"/>
        <v>0</v>
      </c>
      <c r="AI323" s="169">
        <v>0</v>
      </c>
      <c r="AJ323" s="169">
        <v>0</v>
      </c>
      <c r="AK323" s="169">
        <v>0</v>
      </c>
      <c r="AL323" s="169">
        <v>0</v>
      </c>
      <c r="AM323" s="169">
        <v>0</v>
      </c>
      <c r="AP323" s="173"/>
      <c r="AQ323" s="173"/>
      <c r="AR323" s="173"/>
      <c r="AS323" s="173"/>
      <c r="AT323" s="173"/>
      <c r="AU323" s="173"/>
      <c r="AV323" s="173"/>
      <c r="AW323" s="173"/>
      <c r="AX323" s="173"/>
    </row>
    <row r="324" spans="2:50" s="1" customFormat="1" x14ac:dyDescent="0.2">
      <c r="B324" s="30" t="s">
        <v>386</v>
      </c>
      <c r="H324" s="48"/>
      <c r="I324" s="173" t="str">
        <f t="shared" ref="I324:AI324" si="1471">+IFERROR(I314/H314-1,"n/a")</f>
        <v>n/a</v>
      </c>
      <c r="J324" s="173" t="str">
        <f t="shared" si="1471"/>
        <v>n/a</v>
      </c>
      <c r="K324" s="173" t="str">
        <f t="shared" si="1471"/>
        <v>n/a</v>
      </c>
      <c r="L324" s="173" t="str">
        <f t="shared" si="1471"/>
        <v>n/a</v>
      </c>
      <c r="M324" s="173" t="str">
        <f t="shared" si="1471"/>
        <v>n/a</v>
      </c>
      <c r="N324" s="173" t="str">
        <f t="shared" si="1471"/>
        <v>n/a</v>
      </c>
      <c r="O324" s="173" t="str">
        <f t="shared" si="1471"/>
        <v>n/a</v>
      </c>
      <c r="P324" s="173" t="str">
        <f t="shared" si="1471"/>
        <v>n/a</v>
      </c>
      <c r="Q324" s="173" t="str">
        <f t="shared" si="1471"/>
        <v>n/a</v>
      </c>
      <c r="R324" s="173" t="str">
        <f t="shared" si="1471"/>
        <v>n/a</v>
      </c>
      <c r="S324" s="173" t="str">
        <f t="shared" si="1471"/>
        <v>n/a</v>
      </c>
      <c r="T324" s="173" t="str">
        <f t="shared" si="1471"/>
        <v>n/a</v>
      </c>
      <c r="U324" s="173" t="str">
        <f t="shared" si="1471"/>
        <v>n/a</v>
      </c>
      <c r="V324" s="173" t="str">
        <f t="shared" si="1471"/>
        <v>n/a</v>
      </c>
      <c r="W324" s="173" t="str">
        <f t="shared" si="1471"/>
        <v>n/a</v>
      </c>
      <c r="X324" s="173" t="str">
        <f t="shared" si="1471"/>
        <v>n/a</v>
      </c>
      <c r="Y324" s="173" t="str">
        <f t="shared" si="1471"/>
        <v>n/a</v>
      </c>
      <c r="Z324" s="173" t="str">
        <f t="shared" si="1471"/>
        <v>n/a</v>
      </c>
      <c r="AA324" s="173" t="str">
        <f t="shared" si="1471"/>
        <v>n/a</v>
      </c>
      <c r="AB324" s="173">
        <f t="shared" si="1471"/>
        <v>0.25</v>
      </c>
      <c r="AC324" s="173">
        <f t="shared" si="1471"/>
        <v>-0.12</v>
      </c>
      <c r="AD324" s="173">
        <f t="shared" si="1471"/>
        <v>1</v>
      </c>
      <c r="AE324" s="173">
        <f t="shared" si="1471"/>
        <v>2.2727272727272707E-2</v>
      </c>
      <c r="AF324" s="173">
        <f t="shared" si="1471"/>
        <v>0.11111111111111116</v>
      </c>
      <c r="AG324" s="173">
        <f t="shared" si="1471"/>
        <v>-9.9999999999999978E-2</v>
      </c>
      <c r="AH324" s="173">
        <f t="shared" si="1471"/>
        <v>2.2204460492503131E-16</v>
      </c>
      <c r="AI324" s="173">
        <f t="shared" si="1471"/>
        <v>-1.1102230246251565E-16</v>
      </c>
      <c r="AJ324" s="173">
        <f t="shared" ref="AJ324" si="1472">+IFERROR(AJ314/AI314-1,"n/a")</f>
        <v>0</v>
      </c>
      <c r="AK324" s="173">
        <f t="shared" ref="AK324" si="1473">+IFERROR(AK314/AJ314-1,"n/a")</f>
        <v>0</v>
      </c>
      <c r="AL324" s="173">
        <f t="shared" ref="AL324" si="1474">+IFERROR(AL314/AK314-1,"n/a")</f>
        <v>0</v>
      </c>
      <c r="AM324" s="173">
        <f t="shared" ref="AM324" si="1475">+IFERROR(AM314/AL314-1,"n/a")</f>
        <v>0</v>
      </c>
      <c r="AP324" s="173"/>
      <c r="AQ324" s="173"/>
      <c r="AR324" s="173"/>
      <c r="AS324" s="173"/>
      <c r="AT324" s="173"/>
      <c r="AU324" s="173"/>
      <c r="AV324" s="173"/>
      <c r="AW324" s="173"/>
      <c r="AX324" s="173"/>
    </row>
    <row r="326" spans="2:50" x14ac:dyDescent="0.2">
      <c r="B326" s="6" t="s">
        <v>387</v>
      </c>
      <c r="C326" s="5"/>
    </row>
    <row r="327" spans="2:50" x14ac:dyDescent="0.2">
      <c r="B327" s="1"/>
    </row>
    <row r="328" spans="2:50" x14ac:dyDescent="0.2">
      <c r="B328" s="24" t="s">
        <v>370</v>
      </c>
    </row>
    <row r="329" spans="2:50" x14ac:dyDescent="0.2">
      <c r="B329" s="184" t="s">
        <v>225</v>
      </c>
      <c r="H329" s="186">
        <f t="shared" ref="H329:AE329" si="1476">+IFERROR(H149/(H$245*1000-H$203),"n/a")</f>
        <v>2.7897784491440078E-2</v>
      </c>
      <c r="I329" s="186">
        <f t="shared" si="1476"/>
        <v>4.7923579444390532E-2</v>
      </c>
      <c r="J329" s="186">
        <f t="shared" si="1476"/>
        <v>4.1903294616238651E-2</v>
      </c>
      <c r="K329" s="186">
        <f t="shared" si="1476"/>
        <v>4.1227933870836377E-2</v>
      </c>
      <c r="L329" s="186">
        <f t="shared" si="1476"/>
        <v>4.329743137616128E-2</v>
      </c>
      <c r="M329" s="186">
        <f t="shared" si="1476"/>
        <v>4.6028727238563771E-2</v>
      </c>
      <c r="N329" s="186">
        <f t="shared" si="1476"/>
        <v>4.4851753984992956E-2</v>
      </c>
      <c r="O329" s="186">
        <f t="shared" si="1476"/>
        <v>4.3510304091991199E-2</v>
      </c>
      <c r="P329" s="186">
        <f t="shared" si="1476"/>
        <v>3.8502087647129764E-2</v>
      </c>
      <c r="Q329" s="186">
        <f t="shared" si="1476"/>
        <v>4.4882155385994181E-2</v>
      </c>
      <c r="R329" s="186">
        <f t="shared" si="1476"/>
        <v>4.7546141670748353E-2</v>
      </c>
      <c r="S329" s="186">
        <f t="shared" si="1476"/>
        <v>5.5122371403790338E-2</v>
      </c>
      <c r="T329" s="186">
        <f t="shared" si="1476"/>
        <v>4.792685340439537E-2</v>
      </c>
      <c r="U329" s="186">
        <f t="shared" si="1476"/>
        <v>5.3138137378105223E-2</v>
      </c>
      <c r="V329" s="186">
        <f t="shared" si="1476"/>
        <v>5.0287630960831685E-2</v>
      </c>
      <c r="W329" s="186">
        <f t="shared" si="1476"/>
        <v>5.3279796953174502E-2</v>
      </c>
      <c r="X329" s="186">
        <f t="shared" si="1476"/>
        <v>5.0902192272257174E-2</v>
      </c>
      <c r="Y329" s="186">
        <f t="shared" si="1476"/>
        <v>6.4136774943711949E-2</v>
      </c>
      <c r="Z329" s="186">
        <f t="shared" si="1476"/>
        <v>6.4228175369398344E-2</v>
      </c>
      <c r="AA329" s="186">
        <f t="shared" si="1476"/>
        <v>6.2311527855103778E-2</v>
      </c>
      <c r="AB329" s="186">
        <f t="shared" si="1476"/>
        <v>6.1090343976953947E-2</v>
      </c>
      <c r="AC329" s="186">
        <f t="shared" si="1476"/>
        <v>7.433510492778142E-2</v>
      </c>
      <c r="AD329" s="186">
        <f t="shared" si="1476"/>
        <v>7.4102050957331703E-2</v>
      </c>
      <c r="AE329" s="186">
        <f t="shared" si="1476"/>
        <v>7.8390832964452234E-2</v>
      </c>
      <c r="AF329" s="186">
        <f t="shared" ref="AF329:AG329" si="1477">+IFERROR(AF149/(AF$245*1000-AF$203),"n/a")</f>
        <v>7.8032741230398578E-2</v>
      </c>
      <c r="AG329" s="186">
        <f t="shared" si="1477"/>
        <v>8.1567718556312688E-2</v>
      </c>
      <c r="AH329" s="186">
        <f t="shared" ref="AH329" si="1478">+IFERROR(AH149/(AH$245*1000-AH$203),"n/a")</f>
        <v>7.7432546336213812E-2</v>
      </c>
      <c r="AI329" s="186">
        <f t="shared" ref="AI329" si="1479">+IFERROR(AI149/(AI$245*1000-AI$203),"n/a")</f>
        <v>7.7432546336213812E-2</v>
      </c>
      <c r="AJ329" s="186">
        <f t="shared" ref="AJ329:AM329" si="1480">+IFERROR(AJ149/(AJ$245*1000-AJ$203),"n/a")</f>
        <v>7.5496732677808459E-2</v>
      </c>
      <c r="AK329" s="186">
        <f t="shared" si="1480"/>
        <v>7.8063621588853951E-2</v>
      </c>
      <c r="AL329" s="186">
        <f t="shared" si="1480"/>
        <v>7.8063621588853951E-2</v>
      </c>
      <c r="AM329" s="186">
        <f t="shared" si="1480"/>
        <v>7.8063621588853951E-2</v>
      </c>
      <c r="AO329" s="186" t="str">
        <f t="shared" ref="AO329:AW329" si="1481">+IFERROR(AO149/(AO$245*1000-AO$203),"n/a")</f>
        <v>n/a</v>
      </c>
      <c r="AP329" s="186">
        <f t="shared" si="1481"/>
        <v>1.4269402519988698E-2</v>
      </c>
      <c r="AQ329" s="186">
        <f t="shared" si="1481"/>
        <v>4.0696829940627642E-2</v>
      </c>
      <c r="AR329" s="186">
        <f t="shared" si="1481"/>
        <v>4.4396385522220021E-2</v>
      </c>
      <c r="AS329" s="186">
        <f t="shared" si="1481"/>
        <v>4.8203990053253709E-2</v>
      </c>
      <c r="AT329" s="186">
        <f t="shared" si="1481"/>
        <v>5.1373798683775278E-2</v>
      </c>
      <c r="AU329" s="186">
        <f t="shared" si="1481"/>
        <v>6.0827906994655456E-2</v>
      </c>
      <c r="AV329" s="186">
        <f t="shared" si="1481"/>
        <v>7.2672256622313539E-2</v>
      </c>
      <c r="AW329" s="186">
        <f t="shared" si="1481"/>
        <v>7.8553498705292268E-2</v>
      </c>
      <c r="AX329" s="186">
        <f t="shared" ref="AX329" si="1482">+IFERROR(AX149/(AX$245*1000-AX$203),"n/a")</f>
        <v>7.7510319298165653E-2</v>
      </c>
    </row>
    <row r="330" spans="2:50" ht="13.5" x14ac:dyDescent="0.35">
      <c r="B330" s="184" t="s">
        <v>226</v>
      </c>
      <c r="H330" s="187">
        <f t="shared" ref="H330:AE330" si="1483">+IFERROR(H150/(H$245*1000-H$203),"n/a")</f>
        <v>6.9613293051359526E-3</v>
      </c>
      <c r="I330" s="187">
        <f t="shared" si="1483"/>
        <v>6.8338265256621695E-3</v>
      </c>
      <c r="J330" s="187">
        <f t="shared" si="1483"/>
        <v>5.6113440523892465E-3</v>
      </c>
      <c r="K330" s="187">
        <f t="shared" si="1483"/>
        <v>4.8175258571544911E-3</v>
      </c>
      <c r="L330" s="187">
        <f t="shared" si="1483"/>
        <v>6.5442666526304705E-3</v>
      </c>
      <c r="M330" s="187">
        <f t="shared" si="1483"/>
        <v>5.8571552617493992E-3</v>
      </c>
      <c r="N330" s="187">
        <f t="shared" si="1483"/>
        <v>5.362953131724634E-3</v>
      </c>
      <c r="O330" s="187">
        <f t="shared" si="1483"/>
        <v>4.9680052104388453E-3</v>
      </c>
      <c r="P330" s="187">
        <f t="shared" si="1483"/>
        <v>7.352254350449919E-3</v>
      </c>
      <c r="Q330" s="187">
        <f t="shared" si="1483"/>
        <v>4.6227934149928413E-3</v>
      </c>
      <c r="R330" s="187">
        <f t="shared" si="1483"/>
        <v>5.0731428452086983E-3</v>
      </c>
      <c r="S330" s="187">
        <f t="shared" si="1483"/>
        <v>4.9317831889293343E-3</v>
      </c>
      <c r="T330" s="187">
        <f t="shared" si="1483"/>
        <v>4.5948840959040256E-3</v>
      </c>
      <c r="U330" s="187">
        <f t="shared" si="1483"/>
        <v>2.589692039467083E-3</v>
      </c>
      <c r="V330" s="187">
        <f t="shared" si="1483"/>
        <v>1.2594748929362035E-3</v>
      </c>
      <c r="W330" s="187">
        <f t="shared" si="1483"/>
        <v>2.8629906185152223E-3</v>
      </c>
      <c r="X330" s="187">
        <f t="shared" si="1483"/>
        <v>5.5507097548379162E-3</v>
      </c>
      <c r="Y330" s="187">
        <f t="shared" si="1483"/>
        <v>5.7064246986158517E-3</v>
      </c>
      <c r="Z330" s="187">
        <f t="shared" si="1483"/>
        <v>5.8412331757216459E-3</v>
      </c>
      <c r="AA330" s="187">
        <f t="shared" si="1483"/>
        <v>6.9653386183292886E-3</v>
      </c>
      <c r="AB330" s="187">
        <f t="shared" si="1483"/>
        <v>7.9051844753788465E-3</v>
      </c>
      <c r="AC330" s="187">
        <f t="shared" si="1483"/>
        <v>8.0835956971128387E-3</v>
      </c>
      <c r="AD330" s="187">
        <f t="shared" si="1483"/>
        <v>7.2211161458489896E-3</v>
      </c>
      <c r="AE330" s="187">
        <f t="shared" si="1483"/>
        <v>1.1632362202405287E-2</v>
      </c>
      <c r="AF330" s="187">
        <f t="shared" ref="AF330:AG330" si="1484">+IFERROR(AF150/(AF$245*1000-AF$203),"n/a")</f>
        <v>1.0113126684907518E-2</v>
      </c>
      <c r="AG330" s="187">
        <f t="shared" si="1484"/>
        <v>9.2555573004872559E-3</v>
      </c>
      <c r="AH330" s="187">
        <f t="shared" ref="AH330" si="1485">+IFERROR(AH150/(AH$245*1000-AH$203),"n/a")</f>
        <v>7.0154433650186877E-3</v>
      </c>
      <c r="AI330" s="187">
        <f t="shared" ref="AI330" si="1486">+IFERROR(AI150/(AI$245*1000-AI$203),"n/a")</f>
        <v>5.6123546920149496E-3</v>
      </c>
      <c r="AJ330" s="187">
        <f t="shared" ref="AJ330:AM330" si="1487">+IFERROR(AJ150/(AJ$245*1000-AJ$203),"n/a")</f>
        <v>5.6123546920149496E-3</v>
      </c>
      <c r="AK330" s="187">
        <f t="shared" si="1487"/>
        <v>5.6123546920149496E-3</v>
      </c>
      <c r="AL330" s="187">
        <f t="shared" si="1487"/>
        <v>5.6123546920149505E-3</v>
      </c>
      <c r="AM330" s="187">
        <f t="shared" si="1487"/>
        <v>5.6123546920149496E-3</v>
      </c>
      <c r="AO330" s="187" t="str">
        <f t="shared" ref="AO330:AW330" si="1488">+IFERROR(AO150/(AO$245*1000-AO$203),"n/a")</f>
        <v>n/a</v>
      </c>
      <c r="AP330" s="187">
        <f t="shared" si="1488"/>
        <v>6.2706901321554773E-3</v>
      </c>
      <c r="AQ330" s="187">
        <f t="shared" si="1488"/>
        <v>5.6701123833757406E-3</v>
      </c>
      <c r="AR330" s="187">
        <f t="shared" si="1488"/>
        <v>5.510704351281542E-3</v>
      </c>
      <c r="AS330" s="187">
        <f t="shared" si="1488"/>
        <v>5.2396712330483302E-3</v>
      </c>
      <c r="AT330" s="187">
        <f t="shared" si="1488"/>
        <v>2.7530311535732201E-3</v>
      </c>
      <c r="AU330" s="187">
        <f t="shared" si="1488"/>
        <v>6.0793208924402103E-3</v>
      </c>
      <c r="AV330" s="187">
        <f t="shared" si="1488"/>
        <v>8.8702649188003163E-3</v>
      </c>
      <c r="AW330" s="187">
        <f t="shared" si="1488"/>
        <v>7.8159337792469818E-3</v>
      </c>
      <c r="AX330" s="187">
        <f t="shared" ref="AX330" si="1489">+IFERROR(AX150/(AX$245*1000-AX$203),"n/a")</f>
        <v>5.6123546920149514E-3</v>
      </c>
    </row>
    <row r="331" spans="2:50" x14ac:dyDescent="0.2">
      <c r="B331" s="4" t="s">
        <v>223</v>
      </c>
      <c r="H331" s="186">
        <f t="shared" ref="H331:AE331" si="1490">+IFERROR(H151/(H$245*1000-H$203),"n/a")</f>
        <v>3.4859113796576024E-2</v>
      </c>
      <c r="I331" s="186">
        <f t="shared" si="1490"/>
        <v>5.4757405970052707E-2</v>
      </c>
      <c r="J331" s="186">
        <f t="shared" si="1490"/>
        <v>4.7514638668627894E-2</v>
      </c>
      <c r="K331" s="186">
        <f t="shared" si="1490"/>
        <v>4.6045459727990873E-2</v>
      </c>
      <c r="L331" s="186">
        <f t="shared" si="1490"/>
        <v>4.9841698028791744E-2</v>
      </c>
      <c r="M331" s="186">
        <f t="shared" si="1490"/>
        <v>5.1885882500313167E-2</v>
      </c>
      <c r="N331" s="186">
        <f t="shared" si="1490"/>
        <v>5.0214707116717591E-2</v>
      </c>
      <c r="O331" s="186">
        <f t="shared" si="1490"/>
        <v>4.8478309302430043E-2</v>
      </c>
      <c r="P331" s="186">
        <f t="shared" si="1490"/>
        <v>4.5854341997579678E-2</v>
      </c>
      <c r="Q331" s="186">
        <f t="shared" si="1490"/>
        <v>4.950494880098702E-2</v>
      </c>
      <c r="R331" s="186">
        <f t="shared" si="1490"/>
        <v>5.261928451595705E-2</v>
      </c>
      <c r="S331" s="186">
        <f t="shared" si="1490"/>
        <v>6.0054154592719663E-2</v>
      </c>
      <c r="T331" s="186">
        <f t="shared" si="1490"/>
        <v>5.2521737500299398E-2</v>
      </c>
      <c r="U331" s="186">
        <f t="shared" si="1490"/>
        <v>5.5727829417572303E-2</v>
      </c>
      <c r="V331" s="186">
        <f t="shared" si="1490"/>
        <v>5.1547105853767893E-2</v>
      </c>
      <c r="W331" s="186">
        <f t="shared" si="1490"/>
        <v>5.6142787571689723E-2</v>
      </c>
      <c r="X331" s="186">
        <f t="shared" si="1490"/>
        <v>5.6452902027095096E-2</v>
      </c>
      <c r="Y331" s="186">
        <f t="shared" si="1490"/>
        <v>6.9843199642327797E-2</v>
      </c>
      <c r="Z331" s="186">
        <f t="shared" si="1490"/>
        <v>7.0069408545119991E-2</v>
      </c>
      <c r="AA331" s="186">
        <f t="shared" si="1490"/>
        <v>6.9276866473433063E-2</v>
      </c>
      <c r="AB331" s="186">
        <f t="shared" si="1490"/>
        <v>6.8995528452332797E-2</v>
      </c>
      <c r="AC331" s="186">
        <f t="shared" si="1490"/>
        <v>8.2418700624894259E-2</v>
      </c>
      <c r="AD331" s="186">
        <f t="shared" si="1490"/>
        <v>8.1323167103180688E-2</v>
      </c>
      <c r="AE331" s="186">
        <f t="shared" si="1490"/>
        <v>9.0023195166857514E-2</v>
      </c>
      <c r="AF331" s="186">
        <f t="shared" ref="AF331:AG331" si="1491">+IFERROR(AF151/(AF$245*1000-AF$203),"n/a")</f>
        <v>8.8145867915306098E-2</v>
      </c>
      <c r="AG331" s="186">
        <f t="shared" si="1491"/>
        <v>9.0823275856799945E-2</v>
      </c>
      <c r="AH331" s="186">
        <f t="shared" ref="AH331" si="1492">+IFERROR(AH151/(AH$245*1000-AH$203),"n/a")</f>
        <v>8.4447989701232504E-2</v>
      </c>
      <c r="AI331" s="186">
        <f t="shared" ref="AI331" si="1493">+IFERROR(AI151/(AI$245*1000-AI$203),"n/a")</f>
        <v>8.3044901028228771E-2</v>
      </c>
      <c r="AJ331" s="186">
        <f t="shared" ref="AJ331:AM331" si="1494">+IFERROR(AJ151/(AJ$245*1000-AJ$203),"n/a")</f>
        <v>8.1109087369823418E-2</v>
      </c>
      <c r="AK331" s="186">
        <f t="shared" si="1494"/>
        <v>8.3675976280868897E-2</v>
      </c>
      <c r="AL331" s="186">
        <f t="shared" si="1494"/>
        <v>8.3675976280868911E-2</v>
      </c>
      <c r="AM331" s="186">
        <f t="shared" si="1494"/>
        <v>8.3675976280868897E-2</v>
      </c>
      <c r="AO331" s="186" t="str">
        <f t="shared" ref="AO331:AW331" si="1495">+IFERROR(AO151/(AO$245*1000-AO$203),"n/a")</f>
        <v>n/a</v>
      </c>
      <c r="AP331" s="186">
        <f t="shared" si="1495"/>
        <v>2.0540092652144178E-2</v>
      </c>
      <c r="AQ331" s="186">
        <f t="shared" si="1495"/>
        <v>4.6366942324003381E-2</v>
      </c>
      <c r="AR331" s="186">
        <f t="shared" si="1495"/>
        <v>4.9907089873501558E-2</v>
      </c>
      <c r="AS331" s="186">
        <f t="shared" si="1495"/>
        <v>5.3443661286302041E-2</v>
      </c>
      <c r="AT331" s="186">
        <f t="shared" si="1495"/>
        <v>5.4126829837348504E-2</v>
      </c>
      <c r="AU331" s="186">
        <f t="shared" si="1495"/>
        <v>6.690722788709566E-2</v>
      </c>
      <c r="AV331" s="186">
        <f t="shared" si="1495"/>
        <v>8.1542521541113841E-2</v>
      </c>
      <c r="AW331" s="186">
        <f t="shared" si="1495"/>
        <v>8.6369432484539252E-2</v>
      </c>
      <c r="AX331" s="186">
        <f t="shared" ref="AX331" si="1496">+IFERROR(AX151/(AX$245*1000-AX$203),"n/a")</f>
        <v>8.3122673990180598E-2</v>
      </c>
    </row>
    <row r="332" spans="2:50" ht="13.5" x14ac:dyDescent="0.35">
      <c r="B332" s="184" t="s">
        <v>222</v>
      </c>
      <c r="H332" s="187" t="str">
        <f t="shared" ref="H332:AE332" si="1497">+IFERROR(H152/(H$203),"n/a")</f>
        <v>n/a</v>
      </c>
      <c r="I332" s="187" t="str">
        <f t="shared" si="1497"/>
        <v>n/a</v>
      </c>
      <c r="J332" s="187" t="str">
        <f t="shared" si="1497"/>
        <v>n/a</v>
      </c>
      <c r="K332" s="187" t="str">
        <f t="shared" si="1497"/>
        <v>n/a</v>
      </c>
      <c r="L332" s="187" t="str">
        <f t="shared" si="1497"/>
        <v>n/a</v>
      </c>
      <c r="M332" s="187" t="str">
        <f t="shared" si="1497"/>
        <v>n/a</v>
      </c>
      <c r="N332" s="187" t="str">
        <f t="shared" si="1497"/>
        <v>n/a</v>
      </c>
      <c r="O332" s="187" t="str">
        <f t="shared" si="1497"/>
        <v>n/a</v>
      </c>
      <c r="P332" s="187" t="str">
        <f t="shared" si="1497"/>
        <v>n/a</v>
      </c>
      <c r="Q332" s="187" t="str">
        <f t="shared" si="1497"/>
        <v>n/a</v>
      </c>
      <c r="R332" s="187">
        <f t="shared" si="1497"/>
        <v>1</v>
      </c>
      <c r="S332" s="187">
        <f t="shared" si="1497"/>
        <v>1</v>
      </c>
      <c r="T332" s="187">
        <f t="shared" si="1497"/>
        <v>1</v>
      </c>
      <c r="U332" s="187">
        <f t="shared" si="1497"/>
        <v>1</v>
      </c>
      <c r="V332" s="187">
        <f t="shared" si="1497"/>
        <v>1</v>
      </c>
      <c r="W332" s="187">
        <f t="shared" si="1497"/>
        <v>1</v>
      </c>
      <c r="X332" s="187">
        <f t="shared" si="1497"/>
        <v>1</v>
      </c>
      <c r="Y332" s="187">
        <f t="shared" si="1497"/>
        <v>1</v>
      </c>
      <c r="Z332" s="187">
        <f t="shared" si="1497"/>
        <v>1</v>
      </c>
      <c r="AA332" s="187">
        <f t="shared" si="1497"/>
        <v>1</v>
      </c>
      <c r="AB332" s="187" t="str">
        <f t="shared" si="1497"/>
        <v>n/a</v>
      </c>
      <c r="AC332" s="187" t="str">
        <f t="shared" si="1497"/>
        <v>n/a</v>
      </c>
      <c r="AD332" s="187" t="str">
        <f t="shared" si="1497"/>
        <v>n/a</v>
      </c>
      <c r="AE332" s="187" t="str">
        <f t="shared" si="1497"/>
        <v>n/a</v>
      </c>
      <c r="AF332" s="187" t="str">
        <f t="shared" ref="AF332:AG332" si="1498">+IFERROR(AF152/(AF$203),"n/a")</f>
        <v>n/a</v>
      </c>
      <c r="AG332" s="187" t="str">
        <f t="shared" si="1498"/>
        <v>n/a</v>
      </c>
      <c r="AH332" s="187" t="str">
        <f t="shared" ref="AH332" si="1499">+IFERROR(AH152/(AH$203),"n/a")</f>
        <v>n/a</v>
      </c>
      <c r="AI332" s="187" t="str">
        <f t="shared" ref="AI332" si="1500">+IFERROR(AI152/(AI$203),"n/a")</f>
        <v>n/a</v>
      </c>
      <c r="AJ332" s="187" t="str">
        <f t="shared" ref="AJ332:AM332" si="1501">+IFERROR(AJ152/(AJ$203),"n/a")</f>
        <v>n/a</v>
      </c>
      <c r="AK332" s="187" t="str">
        <f t="shared" si="1501"/>
        <v>n/a</v>
      </c>
      <c r="AL332" s="187" t="str">
        <f t="shared" si="1501"/>
        <v>n/a</v>
      </c>
      <c r="AM332" s="187" t="str">
        <f t="shared" si="1501"/>
        <v>n/a</v>
      </c>
      <c r="AO332" s="187">
        <f t="shared" ref="AO332:AW332" si="1502">+IFERROR(AO152/(AO$203),"n/a")</f>
        <v>1</v>
      </c>
      <c r="AP332" s="187">
        <f t="shared" si="1502"/>
        <v>1</v>
      </c>
      <c r="AQ332" s="187" t="str">
        <f t="shared" si="1502"/>
        <v>n/a</v>
      </c>
      <c r="AR332" s="187" t="str">
        <f t="shared" si="1502"/>
        <v>n/a</v>
      </c>
      <c r="AS332" s="187">
        <f t="shared" si="1502"/>
        <v>1</v>
      </c>
      <c r="AT332" s="187">
        <f t="shared" si="1502"/>
        <v>1</v>
      </c>
      <c r="AU332" s="187">
        <f t="shared" si="1502"/>
        <v>1</v>
      </c>
      <c r="AV332" s="187" t="str">
        <f t="shared" si="1502"/>
        <v>n/a</v>
      </c>
      <c r="AW332" s="187" t="str">
        <f t="shared" si="1502"/>
        <v>n/a</v>
      </c>
      <c r="AX332" s="187" t="str">
        <f t="shared" ref="AX332" si="1503">+IFERROR(AX152/(AX$203),"n/a")</f>
        <v>n/a</v>
      </c>
    </row>
    <row r="333" spans="2:50" s="1" customFormat="1" x14ac:dyDescent="0.2">
      <c r="B333" s="38" t="s">
        <v>388</v>
      </c>
      <c r="H333" s="185">
        <f t="shared" ref="H333:AE333" si="1504">+IFERROR(H153/(H$245*1000),"n/a")</f>
        <v>3.4859113796576024E-2</v>
      </c>
      <c r="I333" s="185">
        <f t="shared" si="1504"/>
        <v>5.4757405970052707E-2</v>
      </c>
      <c r="J333" s="185">
        <f t="shared" si="1504"/>
        <v>4.7514638668627894E-2</v>
      </c>
      <c r="K333" s="185">
        <f t="shared" si="1504"/>
        <v>4.6045459727990873E-2</v>
      </c>
      <c r="L333" s="185">
        <f t="shared" si="1504"/>
        <v>4.9841698028791744E-2</v>
      </c>
      <c r="M333" s="185">
        <f t="shared" si="1504"/>
        <v>5.1885882500313167E-2</v>
      </c>
      <c r="N333" s="185">
        <f t="shared" si="1504"/>
        <v>5.0214707116717591E-2</v>
      </c>
      <c r="O333" s="185">
        <f t="shared" si="1504"/>
        <v>4.8478309302430043E-2</v>
      </c>
      <c r="P333" s="185">
        <f t="shared" si="1504"/>
        <v>4.5854341997579678E-2</v>
      </c>
      <c r="Q333" s="185">
        <f t="shared" si="1504"/>
        <v>4.950494880098702E-2</v>
      </c>
      <c r="R333" s="185">
        <f t="shared" si="1504"/>
        <v>5.4034438071248983E-2</v>
      </c>
      <c r="S333" s="185">
        <f t="shared" si="1504"/>
        <v>7.4499520475947018E-2</v>
      </c>
      <c r="T333" s="185">
        <f t="shared" si="1504"/>
        <v>6.8728757830669243E-2</v>
      </c>
      <c r="U333" s="185">
        <f t="shared" si="1504"/>
        <v>6.1131037079914387E-2</v>
      </c>
      <c r="V333" s="185">
        <f t="shared" si="1504"/>
        <v>5.1765288325096546E-2</v>
      </c>
      <c r="W333" s="185">
        <f t="shared" si="1504"/>
        <v>5.6325903159306884E-2</v>
      </c>
      <c r="X333" s="185">
        <f t="shared" si="1504"/>
        <v>5.6568888522224442E-2</v>
      </c>
      <c r="Y333" s="185">
        <f t="shared" si="1504"/>
        <v>6.9963362937996335E-2</v>
      </c>
      <c r="Z333" s="185">
        <f t="shared" si="1504"/>
        <v>7.0187915392641284E-2</v>
      </c>
      <c r="AA333" s="185">
        <f t="shared" si="1504"/>
        <v>6.9385850968809004E-2</v>
      </c>
      <c r="AB333" s="185">
        <f t="shared" si="1504"/>
        <v>6.8995528452332797E-2</v>
      </c>
      <c r="AC333" s="185">
        <f t="shared" si="1504"/>
        <v>8.2418700624894259E-2</v>
      </c>
      <c r="AD333" s="185">
        <f t="shared" si="1504"/>
        <v>8.1323167103180688E-2</v>
      </c>
      <c r="AE333" s="185">
        <f t="shared" si="1504"/>
        <v>9.0023195166857514E-2</v>
      </c>
      <c r="AF333" s="185">
        <f t="shared" ref="AF333:AG333" si="1505">+IFERROR(AF153/(AF$245*1000),"n/a")</f>
        <v>8.8145867915306098E-2</v>
      </c>
      <c r="AG333" s="185">
        <f t="shared" si="1505"/>
        <v>9.0823275856799945E-2</v>
      </c>
      <c r="AH333" s="185">
        <f t="shared" ref="AH333" si="1506">+IFERROR(AH153/(AH$245*1000),"n/a")</f>
        <v>8.4447989701232504E-2</v>
      </c>
      <c r="AI333" s="185">
        <f t="shared" ref="AI333" si="1507">+IFERROR(AI153/(AI$245*1000),"n/a")</f>
        <v>8.3044901028228771E-2</v>
      </c>
      <c r="AJ333" s="185">
        <f t="shared" ref="AJ333:AM333" si="1508">+IFERROR(AJ153/(AJ$245*1000),"n/a")</f>
        <v>8.1109087369823418E-2</v>
      </c>
      <c r="AK333" s="185">
        <f t="shared" si="1508"/>
        <v>8.3675976280868897E-2</v>
      </c>
      <c r="AL333" s="185">
        <f t="shared" si="1508"/>
        <v>8.3675976280868911E-2</v>
      </c>
      <c r="AM333" s="185">
        <f t="shared" si="1508"/>
        <v>8.3675976280868897E-2</v>
      </c>
      <c r="AO333" s="185" t="str">
        <f t="shared" ref="AO333:AW333" si="1509">+IFERROR(AO153/(AO$245*1000),"n/a")</f>
        <v>n/a</v>
      </c>
      <c r="AP333" s="185">
        <f t="shared" si="1509"/>
        <v>2.0579213540154861E-2</v>
      </c>
      <c r="AQ333" s="185">
        <f t="shared" si="1509"/>
        <v>4.6366942324003381E-2</v>
      </c>
      <c r="AR333" s="185">
        <f t="shared" si="1509"/>
        <v>4.9907089873501558E-2</v>
      </c>
      <c r="AS333" s="185">
        <f t="shared" si="1509"/>
        <v>5.8883948812194588E-2</v>
      </c>
      <c r="AT333" s="185">
        <f t="shared" si="1509"/>
        <v>5.8954507517657052E-2</v>
      </c>
      <c r="AU333" s="185">
        <f t="shared" si="1509"/>
        <v>6.7022789138566172E-2</v>
      </c>
      <c r="AV333" s="185">
        <f t="shared" si="1509"/>
        <v>8.1542521541113841E-2</v>
      </c>
      <c r="AW333" s="185">
        <f t="shared" si="1509"/>
        <v>8.6369432484539252E-2</v>
      </c>
      <c r="AX333" s="185">
        <f t="shared" ref="AX333" si="1510">+IFERROR(AX153/(AX$245*1000),"n/a")</f>
        <v>8.3122673990180598E-2</v>
      </c>
    </row>
    <row r="334" spans="2:50" s="1" customFormat="1" x14ac:dyDescent="0.2">
      <c r="B334" s="38"/>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Q334" s="179"/>
      <c r="AR334" s="179"/>
      <c r="AS334" s="179"/>
      <c r="AT334" s="179"/>
      <c r="AU334" s="179"/>
      <c r="AV334" s="179"/>
      <c r="AW334" s="179"/>
      <c r="AX334" s="179"/>
    </row>
    <row r="335" spans="2:50" s="1" customFormat="1" x14ac:dyDescent="0.2">
      <c r="B335" s="19" t="s">
        <v>85</v>
      </c>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row>
    <row r="336" spans="2:50" s="1" customFormat="1" x14ac:dyDescent="0.2">
      <c r="B336" s="20" t="s">
        <v>225</v>
      </c>
      <c r="H336" s="42"/>
      <c r="I336" s="42"/>
      <c r="J336" s="42"/>
      <c r="K336" s="42"/>
      <c r="L336" s="173">
        <f t="shared" ref="L336:U340" si="1511">+IFERROR(L329/H329-1,"n/a")</f>
        <v>0.55200250361982328</v>
      </c>
      <c r="M336" s="173">
        <f t="shared" si="1511"/>
        <v>-3.9539037521717391E-2</v>
      </c>
      <c r="N336" s="173">
        <f t="shared" si="1511"/>
        <v>7.0363425972994831E-2</v>
      </c>
      <c r="O336" s="173">
        <f t="shared" si="1511"/>
        <v>5.5359801155820509E-2</v>
      </c>
      <c r="P336" s="173">
        <f t="shared" si="1511"/>
        <v>-0.11075353841132796</v>
      </c>
      <c r="Q336" s="173">
        <f t="shared" si="1511"/>
        <v>-2.49099186824564E-2</v>
      </c>
      <c r="R336" s="173">
        <f t="shared" si="1511"/>
        <v>6.0073184354326958E-2</v>
      </c>
      <c r="S336" s="173">
        <f t="shared" si="1511"/>
        <v>0.26688085854901056</v>
      </c>
      <c r="T336" s="173">
        <f t="shared" si="1511"/>
        <v>0.24478583716403235</v>
      </c>
      <c r="U336" s="173">
        <f t="shared" si="1511"/>
        <v>0.18394798380577293</v>
      </c>
      <c r="V336" s="173">
        <f t="shared" ref="V336:AH340" si="1512">+IFERROR(V329/R329-1,"n/a")</f>
        <v>5.7659553304405531E-2</v>
      </c>
      <c r="W336" s="173">
        <f t="shared" si="1512"/>
        <v>-3.3426980800922768E-2</v>
      </c>
      <c r="X336" s="173">
        <f t="shared" si="1512"/>
        <v>6.2080830609858806E-2</v>
      </c>
      <c r="Y336" s="173">
        <f t="shared" si="1512"/>
        <v>0.20698199275119022</v>
      </c>
      <c r="Z336" s="173">
        <f t="shared" si="1512"/>
        <v>0.27721616910975078</v>
      </c>
      <c r="AA336" s="173">
        <f t="shared" si="1512"/>
        <v>0.16951511489180238</v>
      </c>
      <c r="AB336" s="173">
        <f t="shared" si="1512"/>
        <v>0.20015153080645498</v>
      </c>
      <c r="AC336" s="173">
        <f t="shared" si="1512"/>
        <v>0.15900908633182409</v>
      </c>
      <c r="AD336" s="173">
        <f t="shared" si="1512"/>
        <v>0.15373121735352591</v>
      </c>
      <c r="AE336" s="173">
        <f t="shared" si="1512"/>
        <v>0.25804703660514461</v>
      </c>
      <c r="AF336" s="173">
        <f t="shared" si="1512"/>
        <v>0.27733347286170251</v>
      </c>
      <c r="AG336" s="173">
        <f t="shared" si="1512"/>
        <v>9.7297416013039095E-2</v>
      </c>
      <c r="AH336" s="173">
        <f t="shared" si="1512"/>
        <v>4.4944712539735532E-2</v>
      </c>
      <c r="AI336" s="173">
        <f t="shared" ref="AI336" si="1513">+IFERROR(AI329/AE329-1,"n/a")</f>
        <v>-1.222447309206387E-2</v>
      </c>
      <c r="AJ336" s="173">
        <f t="shared" ref="AJ336:AJ340" si="1514">+IFERROR(AJ329/AF329-1,"n/a")</f>
        <v>-3.2499288280829819E-2</v>
      </c>
      <c r="AK336" s="173">
        <f t="shared" ref="AK336:AK340" si="1515">+IFERROR(AK329/AG329-1,"n/a")</f>
        <v>-4.295935977465859E-2</v>
      </c>
      <c r="AL336" s="173">
        <f t="shared" ref="AL336:AL340" si="1516">+IFERROR(AL329/AH329-1,"n/a")</f>
        <v>8.1499999999998796E-3</v>
      </c>
      <c r="AM336" s="173">
        <f t="shared" ref="AM336:AM340" si="1517">+IFERROR(AM329/AI329-1,"n/a")</f>
        <v>8.1499999999998796E-3</v>
      </c>
      <c r="AQ336" s="173">
        <f>+IFERROR(AQ329/AP329-1,"n/a")</f>
        <v>1.8520346162790755</v>
      </c>
      <c r="AR336" s="173">
        <f t="shared" ref="AR336:AV336" si="1518">+IFERROR(AR329/AQ329-1,"n/a")</f>
        <v>9.0905252005859971E-2</v>
      </c>
      <c r="AS336" s="173">
        <f t="shared" si="1518"/>
        <v>8.5763840597519181E-2</v>
      </c>
      <c r="AT336" s="173">
        <f t="shared" si="1518"/>
        <v>6.575822098999895E-2</v>
      </c>
      <c r="AU336" s="173">
        <f t="shared" si="1518"/>
        <v>0.18402587609052845</v>
      </c>
      <c r="AV336" s="173">
        <f t="shared" si="1518"/>
        <v>0.19471900666742936</v>
      </c>
      <c r="AW336" s="173">
        <f t="shared" ref="AW336:AX336" si="1519">+IFERROR(AW329/AV329-1,"n/a")</f>
        <v>8.0928298587785052E-2</v>
      </c>
      <c r="AX336" s="173">
        <f t="shared" si="1519"/>
        <v>-1.3279859259232918E-2</v>
      </c>
    </row>
    <row r="337" spans="2:50" s="1" customFormat="1" ht="13.5" x14ac:dyDescent="0.35">
      <c r="B337" s="20" t="s">
        <v>226</v>
      </c>
      <c r="H337" s="42"/>
      <c r="I337" s="42"/>
      <c r="J337" s="42"/>
      <c r="K337" s="42"/>
      <c r="L337" s="180">
        <f t="shared" si="1511"/>
        <v>-5.991135230418998E-2</v>
      </c>
      <c r="M337" s="180">
        <f t="shared" si="1511"/>
        <v>-0.14291718706133449</v>
      </c>
      <c r="N337" s="180">
        <f t="shared" si="1511"/>
        <v>-4.4265851166058967E-2</v>
      </c>
      <c r="O337" s="180">
        <f t="shared" si="1511"/>
        <v>3.1235816422423124E-2</v>
      </c>
      <c r="P337" s="180">
        <f t="shared" si="1511"/>
        <v>0.12346497181539462</v>
      </c>
      <c r="Q337" s="180">
        <f t="shared" si="1511"/>
        <v>-0.21074425921703877</v>
      </c>
      <c r="R337" s="180">
        <f t="shared" si="1511"/>
        <v>-5.4039309946894432E-2</v>
      </c>
      <c r="S337" s="180">
        <f t="shared" si="1511"/>
        <v>-7.291059484680229E-3</v>
      </c>
      <c r="T337" s="180">
        <f t="shared" si="1511"/>
        <v>-0.37503738623748195</v>
      </c>
      <c r="U337" s="180">
        <f t="shared" si="1511"/>
        <v>-0.43979931461611865</v>
      </c>
      <c r="V337" s="180">
        <f t="shared" si="1512"/>
        <v>-0.7517367573976933</v>
      </c>
      <c r="W337" s="180">
        <f t="shared" si="1512"/>
        <v>-0.41948165423371675</v>
      </c>
      <c r="X337" s="180">
        <f t="shared" si="1512"/>
        <v>0.20801953628948611</v>
      </c>
      <c r="Y337" s="180">
        <f t="shared" si="1512"/>
        <v>1.2035147854067398</v>
      </c>
      <c r="Z337" s="180">
        <f t="shared" si="1512"/>
        <v>3.6378321699641241</v>
      </c>
      <c r="AA337" s="180">
        <f t="shared" si="1512"/>
        <v>1.4328890822358296</v>
      </c>
      <c r="AB337" s="180">
        <f t="shared" si="1512"/>
        <v>0.42417543422961446</v>
      </c>
      <c r="AC337" s="180">
        <f t="shared" si="1512"/>
        <v>0.41657800182198024</v>
      </c>
      <c r="AD337" s="180">
        <f t="shared" si="1512"/>
        <v>0.23623144781527539</v>
      </c>
      <c r="AE337" s="180">
        <f t="shared" si="1512"/>
        <v>0.6700354196412972</v>
      </c>
      <c r="AF337" s="180">
        <f t="shared" si="1512"/>
        <v>0.27930305945489753</v>
      </c>
      <c r="AG337" s="180">
        <f t="shared" si="1512"/>
        <v>0.14498023494581735</v>
      </c>
      <c r="AH337" s="180">
        <f t="shared" si="1512"/>
        <v>-2.8482131664442467E-2</v>
      </c>
      <c r="AI337" s="180">
        <f t="shared" ref="AI337" si="1520">+IFERROR(AI330/AE330-1,"n/a")</f>
        <v>-0.51752235750925535</v>
      </c>
      <c r="AJ337" s="180">
        <f t="shared" si="1514"/>
        <v>-0.44504258011613418</v>
      </c>
      <c r="AK337" s="180">
        <f t="shared" si="1515"/>
        <v>-0.39362325683840893</v>
      </c>
      <c r="AL337" s="180">
        <f t="shared" si="1516"/>
        <v>-0.19999999999999996</v>
      </c>
      <c r="AM337" s="180">
        <f t="shared" si="1517"/>
        <v>0</v>
      </c>
      <c r="AQ337" s="180">
        <f t="shared" ref="AQ337:AV337" si="1521">+IFERROR(AQ330/AP330-1,"n/a")</f>
        <v>-9.5775382951875376E-2</v>
      </c>
      <c r="AR337" s="180">
        <f t="shared" si="1521"/>
        <v>-2.8113734140714497E-2</v>
      </c>
      <c r="AS337" s="180">
        <f t="shared" si="1521"/>
        <v>-4.9183026516416484E-2</v>
      </c>
      <c r="AT337" s="180">
        <f t="shared" si="1521"/>
        <v>-0.47457940944673271</v>
      </c>
      <c r="AU337" s="180">
        <f t="shared" si="1521"/>
        <v>1.2082281504696106</v>
      </c>
      <c r="AV337" s="180">
        <f t="shared" si="1521"/>
        <v>0.45908812443684544</v>
      </c>
      <c r="AW337" s="180">
        <f t="shared" ref="AW337:AX337" si="1522">+IFERROR(AW330/AV330-1,"n/a")</f>
        <v>-0.11886129097663189</v>
      </c>
      <c r="AX337" s="180">
        <f t="shared" si="1522"/>
        <v>-0.2819342063878556</v>
      </c>
    </row>
    <row r="338" spans="2:50" s="1" customFormat="1" x14ac:dyDescent="0.2">
      <c r="B338" s="30" t="s">
        <v>223</v>
      </c>
      <c r="H338" s="42"/>
      <c r="I338" s="42"/>
      <c r="J338" s="42"/>
      <c r="K338" s="42"/>
      <c r="L338" s="173">
        <f t="shared" si="1511"/>
        <v>0.42980393361828262</v>
      </c>
      <c r="M338" s="173">
        <f t="shared" si="1511"/>
        <v>-5.2440823645115708E-2</v>
      </c>
      <c r="N338" s="173">
        <f t="shared" si="1511"/>
        <v>5.6826033486653715E-2</v>
      </c>
      <c r="O338" s="173">
        <f t="shared" si="1511"/>
        <v>5.283581896697287E-2</v>
      </c>
      <c r="P338" s="173">
        <f t="shared" si="1511"/>
        <v>-8.0000405060612345E-2</v>
      </c>
      <c r="Q338" s="173">
        <f t="shared" si="1511"/>
        <v>-4.5887890589733638E-2</v>
      </c>
      <c r="R338" s="173">
        <f t="shared" si="1511"/>
        <v>4.7885919032651714E-2</v>
      </c>
      <c r="S338" s="173">
        <f t="shared" si="1511"/>
        <v>0.23878401406439642</v>
      </c>
      <c r="T338" s="173">
        <f t="shared" si="1511"/>
        <v>0.14540379846845575</v>
      </c>
      <c r="U338" s="173">
        <f t="shared" si="1511"/>
        <v>0.12570219275655958</v>
      </c>
      <c r="V338" s="173">
        <f t="shared" si="1512"/>
        <v>-2.0376154332999663E-2</v>
      </c>
      <c r="W338" s="173">
        <f t="shared" si="1512"/>
        <v>-6.5130664939942573E-2</v>
      </c>
      <c r="X338" s="173">
        <f t="shared" si="1512"/>
        <v>7.4848333545197043E-2</v>
      </c>
      <c r="Y338" s="173">
        <f t="shared" si="1512"/>
        <v>0.25329122580727303</v>
      </c>
      <c r="Z338" s="173">
        <f t="shared" si="1512"/>
        <v>0.35932769424334587</v>
      </c>
      <c r="AA338" s="173">
        <f t="shared" si="1512"/>
        <v>0.23394062656707604</v>
      </c>
      <c r="AB338" s="173">
        <f t="shared" si="1512"/>
        <v>0.22217859445414789</v>
      </c>
      <c r="AC338" s="173">
        <f t="shared" si="1512"/>
        <v>0.18005333442577842</v>
      </c>
      <c r="AD338" s="173">
        <f t="shared" si="1512"/>
        <v>0.1606087277133792</v>
      </c>
      <c r="AE338" s="173">
        <f t="shared" si="1512"/>
        <v>0.2994697905596011</v>
      </c>
      <c r="AF338" s="173">
        <f t="shared" si="1512"/>
        <v>0.27755913886801764</v>
      </c>
      <c r="AG338" s="173">
        <f t="shared" si="1512"/>
        <v>0.10197412927142313</v>
      </c>
      <c r="AH338" s="173">
        <f t="shared" si="1512"/>
        <v>3.8424752863930101E-2</v>
      </c>
      <c r="AI338" s="173">
        <f t="shared" ref="AI338" si="1523">+IFERROR(AI331/AE331-1,"n/a")</f>
        <v>-7.7516623640102034E-2</v>
      </c>
      <c r="AJ338" s="173">
        <f t="shared" si="1514"/>
        <v>-7.9831088080542623E-2</v>
      </c>
      <c r="AK338" s="173">
        <f t="shared" si="1515"/>
        <v>-7.8694580310009088E-2</v>
      </c>
      <c r="AL338" s="173">
        <f t="shared" si="1516"/>
        <v>-9.1418803821723404E-3</v>
      </c>
      <c r="AM338" s="173">
        <f t="shared" si="1517"/>
        <v>7.5992053073266064E-3</v>
      </c>
      <c r="AQ338" s="173">
        <f t="shared" ref="AQ338:AV338" si="1524">+IFERROR(AQ331/AP331-1,"n/a")</f>
        <v>1.2573872041012017</v>
      </c>
      <c r="AR338" s="173">
        <f t="shared" si="1524"/>
        <v>7.635067942932916E-2</v>
      </c>
      <c r="AS338" s="173">
        <f t="shared" si="1524"/>
        <v>7.0863106259342334E-2</v>
      </c>
      <c r="AT338" s="173">
        <f t="shared" si="1524"/>
        <v>1.2782966859000711E-2</v>
      </c>
      <c r="AU338" s="173">
        <f t="shared" si="1524"/>
        <v>0.2361194640098514</v>
      </c>
      <c r="AV338" s="173">
        <f t="shared" si="1524"/>
        <v>0.2187400990325723</v>
      </c>
      <c r="AW338" s="173">
        <f t="shared" ref="AW338:AX338" si="1525">+IFERROR(AW331/AV331-1,"n/a")</f>
        <v>5.9195016933486277E-2</v>
      </c>
      <c r="AX338" s="173">
        <f t="shared" si="1525"/>
        <v>-3.7591522845074277E-2</v>
      </c>
    </row>
    <row r="339" spans="2:50" s="1" customFormat="1" ht="13.5" x14ac:dyDescent="0.35">
      <c r="B339" s="20" t="s">
        <v>222</v>
      </c>
      <c r="H339" s="42"/>
      <c r="I339" s="42"/>
      <c r="J339" s="42"/>
      <c r="K339" s="42"/>
      <c r="L339" s="180" t="str">
        <f t="shared" si="1511"/>
        <v>n/a</v>
      </c>
      <c r="M339" s="180" t="str">
        <f t="shared" si="1511"/>
        <v>n/a</v>
      </c>
      <c r="N339" s="180" t="str">
        <f t="shared" si="1511"/>
        <v>n/a</v>
      </c>
      <c r="O339" s="180" t="str">
        <f t="shared" si="1511"/>
        <v>n/a</v>
      </c>
      <c r="P339" s="180" t="str">
        <f t="shared" si="1511"/>
        <v>n/a</v>
      </c>
      <c r="Q339" s="180" t="str">
        <f t="shared" si="1511"/>
        <v>n/a</v>
      </c>
      <c r="R339" s="180" t="str">
        <f t="shared" si="1511"/>
        <v>n/a</v>
      </c>
      <c r="S339" s="180" t="str">
        <f t="shared" si="1511"/>
        <v>n/a</v>
      </c>
      <c r="T339" s="180" t="str">
        <f t="shared" si="1511"/>
        <v>n/a</v>
      </c>
      <c r="U339" s="180" t="str">
        <f t="shared" si="1511"/>
        <v>n/a</v>
      </c>
      <c r="V339" s="180">
        <f t="shared" si="1512"/>
        <v>0</v>
      </c>
      <c r="W339" s="180">
        <f t="shared" si="1512"/>
        <v>0</v>
      </c>
      <c r="X339" s="180">
        <f t="shared" si="1512"/>
        <v>0</v>
      </c>
      <c r="Y339" s="180">
        <f t="shared" si="1512"/>
        <v>0</v>
      </c>
      <c r="Z339" s="180">
        <f t="shared" si="1512"/>
        <v>0</v>
      </c>
      <c r="AA339" s="180">
        <f t="shared" si="1512"/>
        <v>0</v>
      </c>
      <c r="AB339" s="180" t="str">
        <f t="shared" si="1512"/>
        <v>n/a</v>
      </c>
      <c r="AC339" s="180" t="str">
        <f t="shared" si="1512"/>
        <v>n/a</v>
      </c>
      <c r="AD339" s="180" t="str">
        <f t="shared" si="1512"/>
        <v>n/a</v>
      </c>
      <c r="AE339" s="180" t="str">
        <f t="shared" si="1512"/>
        <v>n/a</v>
      </c>
      <c r="AF339" s="180" t="str">
        <f t="shared" si="1512"/>
        <v>n/a</v>
      </c>
      <c r="AG339" s="180" t="str">
        <f t="shared" si="1512"/>
        <v>n/a</v>
      </c>
      <c r="AH339" s="180" t="str">
        <f t="shared" si="1512"/>
        <v>n/a</v>
      </c>
      <c r="AI339" s="180" t="str">
        <f t="shared" ref="AI339" si="1526">+IFERROR(AI332/AE332-1,"n/a")</f>
        <v>n/a</v>
      </c>
      <c r="AJ339" s="180" t="str">
        <f t="shared" si="1514"/>
        <v>n/a</v>
      </c>
      <c r="AK339" s="180" t="str">
        <f t="shared" si="1515"/>
        <v>n/a</v>
      </c>
      <c r="AL339" s="180" t="str">
        <f t="shared" si="1516"/>
        <v>n/a</v>
      </c>
      <c r="AM339" s="180" t="str">
        <f t="shared" si="1517"/>
        <v>n/a</v>
      </c>
      <c r="AQ339" s="180" t="str">
        <f t="shared" ref="AQ339:AV339" si="1527">+IFERROR(AQ332/AP332-1,"n/a")</f>
        <v>n/a</v>
      </c>
      <c r="AR339" s="180" t="str">
        <f t="shared" si="1527"/>
        <v>n/a</v>
      </c>
      <c r="AS339" s="180" t="str">
        <f t="shared" si="1527"/>
        <v>n/a</v>
      </c>
      <c r="AT339" s="180">
        <f t="shared" si="1527"/>
        <v>0</v>
      </c>
      <c r="AU339" s="180">
        <f t="shared" si="1527"/>
        <v>0</v>
      </c>
      <c r="AV339" s="180" t="str">
        <f t="shared" si="1527"/>
        <v>n/a</v>
      </c>
      <c r="AW339" s="180" t="str">
        <f t="shared" ref="AW339:AX339" si="1528">+IFERROR(AW332/AV332-1,"n/a")</f>
        <v>n/a</v>
      </c>
      <c r="AX339" s="180" t="str">
        <f t="shared" si="1528"/>
        <v>n/a</v>
      </c>
    </row>
    <row r="340" spans="2:50" s="1" customFormat="1" x14ac:dyDescent="0.2">
      <c r="B340" s="30" t="s">
        <v>383</v>
      </c>
      <c r="H340" s="42"/>
      <c r="I340" s="42"/>
      <c r="J340" s="42"/>
      <c r="K340" s="42"/>
      <c r="L340" s="173">
        <f t="shared" si="1511"/>
        <v>0.42980393361828262</v>
      </c>
      <c r="M340" s="173">
        <f t="shared" si="1511"/>
        <v>-5.2440823645115708E-2</v>
      </c>
      <c r="N340" s="173">
        <f t="shared" si="1511"/>
        <v>5.6826033486653715E-2</v>
      </c>
      <c r="O340" s="173">
        <f t="shared" si="1511"/>
        <v>5.283581896697287E-2</v>
      </c>
      <c r="P340" s="173">
        <f t="shared" si="1511"/>
        <v>-8.0000405060612345E-2</v>
      </c>
      <c r="Q340" s="173">
        <f t="shared" si="1511"/>
        <v>-4.5887890589733638E-2</v>
      </c>
      <c r="R340" s="173">
        <f t="shared" si="1511"/>
        <v>7.6067972390099214E-2</v>
      </c>
      <c r="S340" s="173">
        <f t="shared" si="1511"/>
        <v>0.53675987360006028</v>
      </c>
      <c r="T340" s="173">
        <f t="shared" si="1511"/>
        <v>0.49884950555602647</v>
      </c>
      <c r="U340" s="173">
        <f t="shared" si="1511"/>
        <v>0.23484699127081154</v>
      </c>
      <c r="V340" s="173">
        <f t="shared" si="1512"/>
        <v>-4.1994509930136981E-2</v>
      </c>
      <c r="W340" s="173">
        <f t="shared" si="1512"/>
        <v>-0.24394274218862499</v>
      </c>
      <c r="X340" s="173">
        <f t="shared" si="1512"/>
        <v>-0.17692549221395404</v>
      </c>
      <c r="Y340" s="173">
        <f t="shared" si="1512"/>
        <v>0.14448185864302898</v>
      </c>
      <c r="Z340" s="173">
        <f t="shared" si="1512"/>
        <v>0.35588765490586849</v>
      </c>
      <c r="AA340" s="173">
        <f t="shared" si="1512"/>
        <v>0.23186397513351165</v>
      </c>
      <c r="AB340" s="173">
        <f t="shared" si="1512"/>
        <v>0.21967269032033832</v>
      </c>
      <c r="AC340" s="173">
        <f t="shared" si="1512"/>
        <v>0.17802657224948182</v>
      </c>
      <c r="AD340" s="173">
        <f t="shared" si="1512"/>
        <v>0.15864912995701896</v>
      </c>
      <c r="AE340" s="173">
        <f t="shared" si="1512"/>
        <v>0.29742871075149901</v>
      </c>
      <c r="AF340" s="173">
        <f t="shared" si="1512"/>
        <v>0.27755913886801764</v>
      </c>
      <c r="AG340" s="173">
        <f t="shared" si="1512"/>
        <v>0.10197412927142313</v>
      </c>
      <c r="AH340" s="173">
        <f t="shared" si="1512"/>
        <v>3.8424752863930101E-2</v>
      </c>
      <c r="AI340" s="173">
        <f t="shared" ref="AI340" si="1529">+IFERROR(AI333/AE333-1,"n/a")</f>
        <v>-7.7516623640102034E-2</v>
      </c>
      <c r="AJ340" s="173">
        <f t="shared" si="1514"/>
        <v>-7.9831088080542623E-2</v>
      </c>
      <c r="AK340" s="173">
        <f t="shared" si="1515"/>
        <v>-7.8694580310009088E-2</v>
      </c>
      <c r="AL340" s="173">
        <f t="shared" si="1516"/>
        <v>-9.1418803821723404E-3</v>
      </c>
      <c r="AM340" s="173">
        <f t="shared" si="1517"/>
        <v>7.5992053073266064E-3</v>
      </c>
      <c r="AQ340" s="173">
        <f t="shared" ref="AQ340:AV340" si="1530">+IFERROR(AQ333/AP333-1,"n/a")</f>
        <v>1.2530959326278737</v>
      </c>
      <c r="AR340" s="173">
        <f t="shared" si="1530"/>
        <v>7.635067942932916E-2</v>
      </c>
      <c r="AS340" s="173">
        <f t="shared" si="1530"/>
        <v>0.17987141629468839</v>
      </c>
      <c r="AT340" s="173">
        <f t="shared" si="1530"/>
        <v>1.1982672168862063E-3</v>
      </c>
      <c r="AU340" s="173">
        <f t="shared" si="1530"/>
        <v>0.13685606004753148</v>
      </c>
      <c r="AV340" s="173">
        <f t="shared" si="1530"/>
        <v>0.21663873719920645</v>
      </c>
      <c r="AW340" s="173">
        <f t="shared" ref="AW340:AX340" si="1531">+IFERROR(AW333/AV333-1,"n/a")</f>
        <v>5.9195016933486277E-2</v>
      </c>
      <c r="AX340" s="173">
        <f t="shared" si="1531"/>
        <v>-3.7591522845074277E-2</v>
      </c>
    </row>
    <row r="341" spans="2:50" s="1" customFormat="1" x14ac:dyDescent="0.2">
      <c r="B341" s="30"/>
      <c r="H341" s="42"/>
      <c r="I341" s="42"/>
      <c r="J341" s="42"/>
      <c r="K341" s="42"/>
      <c r="L341" s="173"/>
      <c r="M341" s="173"/>
      <c r="N341" s="173"/>
      <c r="O341" s="173"/>
      <c r="P341" s="173"/>
      <c r="Q341" s="173"/>
      <c r="R341" s="173"/>
      <c r="S341" s="173"/>
      <c r="T341" s="173"/>
      <c r="U341" s="173"/>
      <c r="V341" s="173"/>
      <c r="W341" s="173"/>
      <c r="X341" s="173"/>
      <c r="Y341" s="173"/>
      <c r="Z341" s="173"/>
      <c r="AA341" s="173"/>
      <c r="AB341" s="173"/>
      <c r="AC341" s="173"/>
      <c r="AD341" s="173"/>
      <c r="AE341" s="173"/>
      <c r="AF341" s="173"/>
      <c r="AG341" s="173"/>
      <c r="AH341" s="173"/>
      <c r="AI341" s="173"/>
      <c r="AJ341" s="173"/>
      <c r="AK341" s="173"/>
      <c r="AL341" s="173"/>
      <c r="AM341" s="173"/>
      <c r="AQ341" s="173"/>
      <c r="AR341" s="173"/>
      <c r="AS341" s="173"/>
      <c r="AT341" s="173"/>
      <c r="AU341" s="173"/>
      <c r="AV341" s="173"/>
      <c r="AW341" s="173"/>
      <c r="AX341" s="173"/>
    </row>
    <row r="342" spans="2:50" s="1" customFormat="1" x14ac:dyDescent="0.2">
      <c r="B342" s="19" t="s">
        <v>261</v>
      </c>
      <c r="H342" s="42"/>
      <c r="I342" s="42"/>
      <c r="J342" s="42"/>
      <c r="K342" s="42"/>
      <c r="L342" s="173"/>
      <c r="M342" s="173"/>
      <c r="N342" s="173"/>
      <c r="O342" s="173"/>
      <c r="P342" s="173"/>
      <c r="Q342" s="173"/>
      <c r="R342" s="173"/>
      <c r="S342" s="173"/>
      <c r="T342" s="173"/>
      <c r="U342" s="173"/>
      <c r="V342" s="173"/>
      <c r="W342" s="173"/>
      <c r="X342" s="173"/>
      <c r="Y342" s="173"/>
      <c r="Z342" s="173"/>
      <c r="AA342" s="173"/>
      <c r="AB342" s="173"/>
      <c r="AC342" s="173"/>
      <c r="AD342" s="173"/>
      <c r="AE342" s="173"/>
      <c r="AF342" s="173"/>
      <c r="AG342" s="173"/>
      <c r="AH342" s="173"/>
      <c r="AI342" s="173"/>
      <c r="AJ342" s="173"/>
      <c r="AK342" s="173"/>
      <c r="AL342" s="173"/>
      <c r="AM342" s="173"/>
      <c r="AQ342" s="173"/>
      <c r="AR342" s="173"/>
      <c r="AS342" s="173"/>
      <c r="AT342" s="173"/>
      <c r="AU342" s="173"/>
      <c r="AV342" s="173"/>
      <c r="AW342" s="173"/>
      <c r="AX342" s="173"/>
    </row>
    <row r="343" spans="2:50" s="1" customFormat="1" x14ac:dyDescent="0.2">
      <c r="B343" s="20" t="s">
        <v>225</v>
      </c>
      <c r="H343"/>
      <c r="I343" s="46">
        <f>+IFERROR(I329/H329-1,"n/a")</f>
        <v>0.71782743031422447</v>
      </c>
      <c r="J343" s="46">
        <f t="shared" ref="J343:J347" si="1532">+IFERROR(J329/I329-1,"n/a")</f>
        <v>-0.1256226036942355</v>
      </c>
      <c r="K343" s="46">
        <f t="shared" ref="K343:K347" si="1533">+IFERROR(K329/J329-1,"n/a")</f>
        <v>-1.611712758119388E-2</v>
      </c>
      <c r="L343" s="46">
        <f t="shared" ref="L343:L347" si="1534">+IFERROR(L329/K329-1,"n/a")</f>
        <v>5.0196488424776753E-2</v>
      </c>
      <c r="M343" s="46">
        <f t="shared" ref="M343:M347" si="1535">+IFERROR(M329/L329-1,"n/a")</f>
        <v>6.3082168516497505E-2</v>
      </c>
      <c r="N343" s="46">
        <f t="shared" ref="N343:N347" si="1536">+IFERROR(N329/M329-1,"n/a")</f>
        <v>-2.557040622632567E-2</v>
      </c>
      <c r="O343" s="46">
        <f t="shared" ref="O343:O347" si="1537">+IFERROR(O329/N329-1,"n/a")</f>
        <v>-2.9908526954165349E-2</v>
      </c>
      <c r="P343" s="46">
        <f t="shared" ref="P343:P347" si="1538">+IFERROR(P329/O329-1,"n/a")</f>
        <v>-0.1151041471526576</v>
      </c>
      <c r="Q343" s="46">
        <f t="shared" ref="Q343:Q347" si="1539">+IFERROR(Q329/P329-1,"n/a")</f>
        <v>0.16570705976614852</v>
      </c>
      <c r="R343" s="46">
        <f t="shared" ref="R343:R347" si="1540">+IFERROR(R329/Q329-1,"n/a")</f>
        <v>5.9355132609907768E-2</v>
      </c>
      <c r="S343" s="46">
        <f t="shared" ref="S343:S347" si="1541">+IFERROR(S329/R329-1,"n/a")</f>
        <v>0.15934478523003026</v>
      </c>
      <c r="T343" s="46">
        <f t="shared" ref="T343:T347" si="1542">+IFERROR(T329/S329-1,"n/a")</f>
        <v>-0.13053716333583187</v>
      </c>
      <c r="U343" s="46">
        <f t="shared" ref="U343:U347" si="1543">+IFERROR(U329/T329-1,"n/a")</f>
        <v>0.10873411466716343</v>
      </c>
      <c r="V343" s="46">
        <f t="shared" ref="V343:V347" si="1544">+IFERROR(V329/U329-1,"n/a")</f>
        <v>-5.3643325828128252E-2</v>
      </c>
      <c r="W343" s="46">
        <f t="shared" ref="W343:W347" si="1545">+IFERROR(W329/V329-1,"n/a")</f>
        <v>5.9501033060662012E-2</v>
      </c>
      <c r="X343" s="46">
        <f t="shared" ref="X343:X347" si="1546">+IFERROR(X329/W329-1,"n/a")</f>
        <v>-4.4624882542381172E-2</v>
      </c>
      <c r="Y343" s="46">
        <f t="shared" ref="Y343:Y347" si="1547">+IFERROR(Y329/X329-1,"n/a")</f>
        <v>0.26000024911830599</v>
      </c>
      <c r="Z343" s="46">
        <f t="shared" ref="Z343:Z347" si="1548">+IFERROR(Z329/Y329-1,"n/a")</f>
        <v>1.4250860877649263E-3</v>
      </c>
      <c r="AA343" s="46">
        <f t="shared" ref="AA343:AA347" si="1549">+IFERROR(AA329/Z329-1,"n/a")</f>
        <v>-2.9841226272913191E-2</v>
      </c>
      <c r="AB343" s="46">
        <f t="shared" ref="AB343:AB347" si="1550">+IFERROR(AB329/AA329-1,"n/a")</f>
        <v>-1.9598041007588773E-2</v>
      </c>
      <c r="AC343" s="46">
        <f t="shared" ref="AC343:AC347" si="1551">+IFERROR(AC329/AB329-1,"n/a")</f>
        <v>0.21680612824547207</v>
      </c>
      <c r="AD343" s="46">
        <f t="shared" ref="AD343:AD347" si="1552">+IFERROR(AD329/AC329-1,"n/a")</f>
        <v>-3.1351804867448818E-3</v>
      </c>
      <c r="AE343" s="46">
        <f t="shared" ref="AE343:AH347" si="1553">+IFERROR(AE329/AD329-1,"n/a")</f>
        <v>5.7876697766301222E-2</v>
      </c>
      <c r="AF343" s="46">
        <f t="shared" si="1553"/>
        <v>-4.5680307315529856E-3</v>
      </c>
      <c r="AG343" s="46">
        <f t="shared" si="1553"/>
        <v>4.530120652146219E-2</v>
      </c>
      <c r="AH343" s="46">
        <f t="shared" si="1553"/>
        <v>-5.0696185859900433E-2</v>
      </c>
      <c r="AI343" s="46">
        <f t="shared" ref="AI343:AI347" si="1554">+IFERROR(AI329/AH329-1,"n/a")</f>
        <v>0</v>
      </c>
      <c r="AJ343" s="46">
        <f t="shared" ref="AJ343:AJ347" si="1555">+IFERROR(AJ329/AI329-1,"n/a")</f>
        <v>-2.5000000000000133E-2</v>
      </c>
      <c r="AK343" s="46">
        <f t="shared" ref="AK343:AK347" si="1556">+IFERROR(AK329/AJ329-1,"n/a")</f>
        <v>3.400000000000003E-2</v>
      </c>
      <c r="AL343" s="46">
        <f t="shared" ref="AL343:AL347" si="1557">+IFERROR(AL329/AK329-1,"n/a")</f>
        <v>0</v>
      </c>
      <c r="AM343" s="46">
        <f t="shared" ref="AM343:AM347" si="1558">+IFERROR(AM329/AL329-1,"n/a")</f>
        <v>0</v>
      </c>
      <c r="AQ343" s="173"/>
      <c r="AR343" s="173"/>
      <c r="AS343" s="173"/>
      <c r="AT343" s="173"/>
      <c r="AU343" s="173"/>
      <c r="AV343" s="173"/>
      <c r="AW343" s="173"/>
      <c r="AX343" s="173"/>
    </row>
    <row r="344" spans="2:50" s="1" customFormat="1" ht="13.5" x14ac:dyDescent="0.35">
      <c r="B344" s="20" t="s">
        <v>226</v>
      </c>
      <c r="H344"/>
      <c r="I344" s="47">
        <f t="shared" ref="I344:I347" si="1559">+IFERROR(I330/H330-1,"n/a")</f>
        <v>-1.8315866680766457E-2</v>
      </c>
      <c r="J344" s="47">
        <f t="shared" si="1532"/>
        <v>-0.17888696306268459</v>
      </c>
      <c r="K344" s="47">
        <f t="shared" si="1533"/>
        <v>-0.14146667675755087</v>
      </c>
      <c r="L344" s="47">
        <f t="shared" si="1534"/>
        <v>0.35842896264097934</v>
      </c>
      <c r="M344" s="47">
        <f t="shared" si="1535"/>
        <v>-0.10499440615013544</v>
      </c>
      <c r="N344" s="47">
        <f t="shared" si="1536"/>
        <v>-8.4375794722771014E-2</v>
      </c>
      <c r="O344" s="47">
        <f t="shared" si="1537"/>
        <v>-7.3643739108863016E-2</v>
      </c>
      <c r="P344" s="47">
        <f t="shared" si="1538"/>
        <v>0.47992082113787937</v>
      </c>
      <c r="Q344" s="47">
        <f t="shared" si="1539"/>
        <v>-0.37124136426129617</v>
      </c>
      <c r="R344" s="47">
        <f t="shared" si="1540"/>
        <v>9.7419328485513601E-2</v>
      </c>
      <c r="S344" s="47">
        <f t="shared" si="1541"/>
        <v>-2.7864316182791948E-2</v>
      </c>
      <c r="T344" s="47">
        <f t="shared" si="1542"/>
        <v>-6.8311821529698613E-2</v>
      </c>
      <c r="U344" s="47">
        <f t="shared" si="1543"/>
        <v>-0.43639665649551684</v>
      </c>
      <c r="V344" s="47">
        <f t="shared" si="1544"/>
        <v>-0.51365842975082732</v>
      </c>
      <c r="W344" s="47">
        <f t="shared" si="1545"/>
        <v>1.2731621206364467</v>
      </c>
      <c r="X344" s="47">
        <f t="shared" si="1546"/>
        <v>0.93878028064114782</v>
      </c>
      <c r="Y344" s="47">
        <f t="shared" si="1547"/>
        <v>2.8053159083343715E-2</v>
      </c>
      <c r="Z344" s="47">
        <f t="shared" si="1548"/>
        <v>2.3623982480394989E-2</v>
      </c>
      <c r="AA344" s="47">
        <f t="shared" si="1549"/>
        <v>0.19244317232187313</v>
      </c>
      <c r="AB344" s="47">
        <f t="shared" si="1550"/>
        <v>0.13493182579470786</v>
      </c>
      <c r="AC344" s="47">
        <f t="shared" si="1551"/>
        <v>2.2568887834264251E-2</v>
      </c>
      <c r="AD344" s="47">
        <f t="shared" si="1552"/>
        <v>-0.10669503814643955</v>
      </c>
      <c r="AE344" s="47">
        <f t="shared" si="1553"/>
        <v>0.61088147143181915</v>
      </c>
      <c r="AF344" s="47">
        <f t="shared" si="1553"/>
        <v>-0.13060421357784313</v>
      </c>
      <c r="AG344" s="47">
        <f t="shared" si="1553"/>
        <v>-8.479765073051726E-2</v>
      </c>
      <c r="AH344" s="47">
        <f t="shared" si="1553"/>
        <v>-0.24202907104801119</v>
      </c>
      <c r="AI344" s="47">
        <f t="shared" si="1554"/>
        <v>-0.20000000000000007</v>
      </c>
      <c r="AJ344" s="47">
        <f t="shared" si="1555"/>
        <v>0</v>
      </c>
      <c r="AK344" s="47">
        <f t="shared" si="1556"/>
        <v>0</v>
      </c>
      <c r="AL344" s="47">
        <f t="shared" si="1557"/>
        <v>2.2204460492503131E-16</v>
      </c>
      <c r="AM344" s="47">
        <f t="shared" si="1558"/>
        <v>-1.1102230246251565E-16</v>
      </c>
      <c r="AQ344" s="173"/>
      <c r="AR344" s="173"/>
      <c r="AS344" s="173"/>
      <c r="AT344" s="173"/>
      <c r="AU344" s="173"/>
      <c r="AV344" s="173"/>
      <c r="AW344" s="173"/>
      <c r="AX344" s="173"/>
    </row>
    <row r="345" spans="2:50" s="1" customFormat="1" x14ac:dyDescent="0.2">
      <c r="B345" s="30" t="s">
        <v>223</v>
      </c>
      <c r="H345"/>
      <c r="I345" s="46">
        <f t="shared" si="1559"/>
        <v>0.57082036822838433</v>
      </c>
      <c r="J345" s="46">
        <f t="shared" si="1532"/>
        <v>-0.13227009521572197</v>
      </c>
      <c r="K345" s="46">
        <f t="shared" si="1533"/>
        <v>-3.0920553787291305E-2</v>
      </c>
      <c r="L345" s="46">
        <f t="shared" si="1534"/>
        <v>8.2445442465484797E-2</v>
      </c>
      <c r="M345" s="46">
        <f t="shared" si="1535"/>
        <v>4.1013539914723118E-2</v>
      </c>
      <c r="N345" s="46">
        <f t="shared" si="1536"/>
        <v>-3.2208672245007897E-2</v>
      </c>
      <c r="O345" s="46">
        <f t="shared" si="1537"/>
        <v>-3.4579467132039965E-2</v>
      </c>
      <c r="P345" s="46">
        <f t="shared" si="1538"/>
        <v>-5.4126625755053559E-2</v>
      </c>
      <c r="Q345" s="46">
        <f t="shared" si="1539"/>
        <v>7.9613110653731223E-2</v>
      </c>
      <c r="R345" s="46">
        <f t="shared" si="1540"/>
        <v>6.290958359516452E-2</v>
      </c>
      <c r="S345" s="46">
        <f t="shared" si="1541"/>
        <v>0.14129553727603339</v>
      </c>
      <c r="T345" s="46">
        <f t="shared" si="1542"/>
        <v>-0.12542707733551905</v>
      </c>
      <c r="U345" s="46">
        <f t="shared" si="1543"/>
        <v>6.1043142703621101E-2</v>
      </c>
      <c r="V345" s="46">
        <f t="shared" si="1544"/>
        <v>-7.5020391203073244E-2</v>
      </c>
      <c r="W345" s="46">
        <f t="shared" si="1545"/>
        <v>8.9154990213401231E-2</v>
      </c>
      <c r="X345" s="46">
        <f t="shared" si="1546"/>
        <v>5.5236739894573006E-3</v>
      </c>
      <c r="Y345" s="46">
        <f t="shared" si="1547"/>
        <v>0.23719414121183546</v>
      </c>
      <c r="Z345" s="46">
        <f t="shared" si="1548"/>
        <v>3.2388107067062855E-3</v>
      </c>
      <c r="AA345" s="46">
        <f t="shared" si="1549"/>
        <v>-1.1310814350267928E-2</v>
      </c>
      <c r="AB345" s="46">
        <f t="shared" si="1550"/>
        <v>-4.0610673580069312E-3</v>
      </c>
      <c r="AC345" s="46">
        <f t="shared" si="1551"/>
        <v>0.19455133504536004</v>
      </c>
      <c r="AD345" s="46">
        <f t="shared" si="1552"/>
        <v>-1.329229305251467E-2</v>
      </c>
      <c r="AE345" s="46">
        <f t="shared" si="1553"/>
        <v>0.10698093020207211</v>
      </c>
      <c r="AF345" s="46">
        <f t="shared" si="1553"/>
        <v>-2.0853817153143717E-2</v>
      </c>
      <c r="AG345" s="46">
        <f t="shared" si="1553"/>
        <v>3.0374741378307091E-2</v>
      </c>
      <c r="AH345" s="46">
        <f t="shared" si="1553"/>
        <v>-7.0194408816736442E-2</v>
      </c>
      <c r="AI345" s="46">
        <f t="shared" si="1554"/>
        <v>-1.6614826213953715E-2</v>
      </c>
      <c r="AJ345" s="46">
        <f t="shared" si="1555"/>
        <v>-2.3310445727996343E-2</v>
      </c>
      <c r="AK345" s="46">
        <f t="shared" si="1556"/>
        <v>3.1647365224830359E-2</v>
      </c>
      <c r="AL345" s="46">
        <f t="shared" si="1557"/>
        <v>2.2204460492503131E-16</v>
      </c>
      <c r="AM345" s="46">
        <f t="shared" si="1558"/>
        <v>-1.1102230246251565E-16</v>
      </c>
      <c r="AQ345" s="173"/>
      <c r="AR345" s="173"/>
      <c r="AS345" s="173"/>
      <c r="AT345" s="173"/>
      <c r="AU345" s="173"/>
      <c r="AV345" s="173"/>
      <c r="AW345" s="173"/>
      <c r="AX345" s="173"/>
    </row>
    <row r="346" spans="2:50" s="1" customFormat="1" ht="13.5" x14ac:dyDescent="0.35">
      <c r="B346" s="20" t="s">
        <v>222</v>
      </c>
      <c r="H346"/>
      <c r="I346" s="47" t="str">
        <f t="shared" si="1559"/>
        <v>n/a</v>
      </c>
      <c r="J346" s="47" t="str">
        <f t="shared" si="1532"/>
        <v>n/a</v>
      </c>
      <c r="K346" s="47" t="str">
        <f t="shared" si="1533"/>
        <v>n/a</v>
      </c>
      <c r="L346" s="47" t="str">
        <f t="shared" si="1534"/>
        <v>n/a</v>
      </c>
      <c r="M346" s="47" t="str">
        <f t="shared" si="1535"/>
        <v>n/a</v>
      </c>
      <c r="N346" s="47" t="str">
        <f t="shared" si="1536"/>
        <v>n/a</v>
      </c>
      <c r="O346" s="47" t="str">
        <f t="shared" si="1537"/>
        <v>n/a</v>
      </c>
      <c r="P346" s="47" t="str">
        <f t="shared" si="1538"/>
        <v>n/a</v>
      </c>
      <c r="Q346" s="47" t="str">
        <f t="shared" si="1539"/>
        <v>n/a</v>
      </c>
      <c r="R346" s="47" t="str">
        <f t="shared" si="1540"/>
        <v>n/a</v>
      </c>
      <c r="S346" s="47">
        <f t="shared" si="1541"/>
        <v>0</v>
      </c>
      <c r="T346" s="47">
        <f t="shared" si="1542"/>
        <v>0</v>
      </c>
      <c r="U346" s="47">
        <f t="shared" si="1543"/>
        <v>0</v>
      </c>
      <c r="V346" s="47">
        <f t="shared" si="1544"/>
        <v>0</v>
      </c>
      <c r="W346" s="47">
        <f t="shared" si="1545"/>
        <v>0</v>
      </c>
      <c r="X346" s="47">
        <f t="shared" si="1546"/>
        <v>0</v>
      </c>
      <c r="Y346" s="47">
        <f t="shared" si="1547"/>
        <v>0</v>
      </c>
      <c r="Z346" s="47">
        <f t="shared" si="1548"/>
        <v>0</v>
      </c>
      <c r="AA346" s="47">
        <f t="shared" si="1549"/>
        <v>0</v>
      </c>
      <c r="AB346" s="47" t="str">
        <f t="shared" si="1550"/>
        <v>n/a</v>
      </c>
      <c r="AC346" s="47" t="str">
        <f t="shared" si="1551"/>
        <v>n/a</v>
      </c>
      <c r="AD346" s="47" t="str">
        <f t="shared" si="1552"/>
        <v>n/a</v>
      </c>
      <c r="AE346" s="47" t="str">
        <f t="shared" si="1553"/>
        <v>n/a</v>
      </c>
      <c r="AF346" s="47" t="str">
        <f t="shared" si="1553"/>
        <v>n/a</v>
      </c>
      <c r="AG346" s="47" t="str">
        <f t="shared" si="1553"/>
        <v>n/a</v>
      </c>
      <c r="AH346" s="47" t="str">
        <f t="shared" si="1553"/>
        <v>n/a</v>
      </c>
      <c r="AI346" s="47" t="str">
        <f t="shared" si="1554"/>
        <v>n/a</v>
      </c>
      <c r="AJ346" s="47" t="str">
        <f t="shared" si="1555"/>
        <v>n/a</v>
      </c>
      <c r="AK346" s="47" t="str">
        <f t="shared" si="1556"/>
        <v>n/a</v>
      </c>
      <c r="AL346" s="47" t="str">
        <f t="shared" si="1557"/>
        <v>n/a</v>
      </c>
      <c r="AM346" s="47" t="str">
        <f t="shared" si="1558"/>
        <v>n/a</v>
      </c>
      <c r="AQ346" s="173"/>
      <c r="AR346" s="173"/>
      <c r="AS346" s="173"/>
      <c r="AT346" s="173"/>
      <c r="AU346" s="173"/>
      <c r="AV346" s="173"/>
      <c r="AW346" s="173"/>
      <c r="AX346" s="173"/>
    </row>
    <row r="347" spans="2:50" s="1" customFormat="1" x14ac:dyDescent="0.2">
      <c r="B347" s="30" t="s">
        <v>383</v>
      </c>
      <c r="H347"/>
      <c r="I347" s="46">
        <f t="shared" si="1559"/>
        <v>0.57082036822838433</v>
      </c>
      <c r="J347" s="46">
        <f t="shared" si="1532"/>
        <v>-0.13227009521572197</v>
      </c>
      <c r="K347" s="46">
        <f t="shared" si="1533"/>
        <v>-3.0920553787291305E-2</v>
      </c>
      <c r="L347" s="46">
        <f t="shared" si="1534"/>
        <v>8.2445442465484797E-2</v>
      </c>
      <c r="M347" s="46">
        <f t="shared" si="1535"/>
        <v>4.1013539914723118E-2</v>
      </c>
      <c r="N347" s="46">
        <f t="shared" si="1536"/>
        <v>-3.2208672245007897E-2</v>
      </c>
      <c r="O347" s="46">
        <f t="shared" si="1537"/>
        <v>-3.4579467132039965E-2</v>
      </c>
      <c r="P347" s="46">
        <f t="shared" si="1538"/>
        <v>-5.4126625755053559E-2</v>
      </c>
      <c r="Q347" s="46">
        <f t="shared" si="1539"/>
        <v>7.9613110653731223E-2</v>
      </c>
      <c r="R347" s="46">
        <f t="shared" si="1540"/>
        <v>9.1495686390279829E-2</v>
      </c>
      <c r="S347" s="46">
        <f t="shared" si="1541"/>
        <v>0.37874146813025233</v>
      </c>
      <c r="T347" s="46">
        <f t="shared" si="1542"/>
        <v>-7.746039985775377E-2</v>
      </c>
      <c r="U347" s="46">
        <f t="shared" si="1543"/>
        <v>-0.11054645814309305</v>
      </c>
      <c r="V347" s="46">
        <f t="shared" si="1544"/>
        <v>-0.15320775177712653</v>
      </c>
      <c r="W347" s="46">
        <f t="shared" si="1545"/>
        <v>8.8101795271934957E-2</v>
      </c>
      <c r="X347" s="46">
        <f t="shared" si="1546"/>
        <v>4.3139186287048936E-3</v>
      </c>
      <c r="Y347" s="46">
        <f t="shared" si="1547"/>
        <v>0.23678164386258982</v>
      </c>
      <c r="Z347" s="46">
        <f t="shared" si="1548"/>
        <v>3.209572056219745E-3</v>
      </c>
      <c r="AA347" s="46">
        <f t="shared" si="1549"/>
        <v>-1.1427386314943444E-2</v>
      </c>
      <c r="AB347" s="46">
        <f t="shared" si="1550"/>
        <v>-5.6253906383834096E-3</v>
      </c>
      <c r="AC347" s="46">
        <f t="shared" si="1551"/>
        <v>0.19455133504536004</v>
      </c>
      <c r="AD347" s="46">
        <f t="shared" si="1552"/>
        <v>-1.329229305251467E-2</v>
      </c>
      <c r="AE347" s="46">
        <f t="shared" si="1553"/>
        <v>0.10698093020207211</v>
      </c>
      <c r="AF347" s="46">
        <f t="shared" si="1553"/>
        <v>-2.0853817153143717E-2</v>
      </c>
      <c r="AG347" s="46">
        <f t="shared" si="1553"/>
        <v>3.0374741378307091E-2</v>
      </c>
      <c r="AH347" s="46">
        <f t="shared" si="1553"/>
        <v>-7.0194408816736442E-2</v>
      </c>
      <c r="AI347" s="46">
        <f t="shared" si="1554"/>
        <v>-1.6614826213953715E-2</v>
      </c>
      <c r="AJ347" s="46">
        <f t="shared" si="1555"/>
        <v>-2.3310445727996343E-2</v>
      </c>
      <c r="AK347" s="46">
        <f t="shared" si="1556"/>
        <v>3.1647365224830359E-2</v>
      </c>
      <c r="AL347" s="46">
        <f t="shared" si="1557"/>
        <v>2.2204460492503131E-16</v>
      </c>
      <c r="AM347" s="46">
        <f t="shared" si="1558"/>
        <v>-1.1102230246251565E-16</v>
      </c>
      <c r="AQ347" s="173"/>
      <c r="AR347" s="173"/>
      <c r="AS347" s="173"/>
      <c r="AT347" s="173"/>
      <c r="AU347" s="173"/>
      <c r="AV347" s="173"/>
      <c r="AW347" s="173"/>
      <c r="AX347" s="173"/>
    </row>
    <row r="348" spans="2:50" x14ac:dyDescent="0.2">
      <c r="B348" s="181"/>
    </row>
    <row r="349" spans="2:50" x14ac:dyDescent="0.2">
      <c r="B349" s="24" t="s">
        <v>371</v>
      </c>
    </row>
    <row r="350" spans="2:50" x14ac:dyDescent="0.2">
      <c r="B350" s="184" t="s">
        <v>225</v>
      </c>
      <c r="H350" s="186" t="str">
        <f t="shared" ref="H350:AE350" si="1560">+IFERROR(H170/(H$246*1000),"n/a")</f>
        <v>n/a</v>
      </c>
      <c r="I350" s="186" t="str">
        <f t="shared" si="1560"/>
        <v>n/a</v>
      </c>
      <c r="J350" s="186" t="str">
        <f t="shared" si="1560"/>
        <v>n/a</v>
      </c>
      <c r="K350" s="186" t="str">
        <f t="shared" si="1560"/>
        <v>n/a</v>
      </c>
      <c r="L350" s="186" t="str">
        <f t="shared" si="1560"/>
        <v>n/a</v>
      </c>
      <c r="M350" s="186" t="str">
        <f t="shared" si="1560"/>
        <v>n/a</v>
      </c>
      <c r="N350" s="186" t="str">
        <f t="shared" si="1560"/>
        <v>n/a</v>
      </c>
      <c r="O350" s="186" t="str">
        <f t="shared" si="1560"/>
        <v>n/a</v>
      </c>
      <c r="P350" s="186" t="str">
        <f t="shared" si="1560"/>
        <v>n/a</v>
      </c>
      <c r="Q350" s="186" t="str">
        <f t="shared" si="1560"/>
        <v>n/a</v>
      </c>
      <c r="R350" s="186" t="str">
        <f t="shared" si="1560"/>
        <v>n/a</v>
      </c>
      <c r="S350" s="186">
        <f t="shared" si="1560"/>
        <v>0</v>
      </c>
      <c r="T350" s="186">
        <f t="shared" si="1560"/>
        <v>0</v>
      </c>
      <c r="U350" s="186">
        <f t="shared" si="1560"/>
        <v>0</v>
      </c>
      <c r="V350" s="186">
        <f t="shared" si="1560"/>
        <v>0</v>
      </c>
      <c r="W350" s="186">
        <f t="shared" si="1560"/>
        <v>0</v>
      </c>
      <c r="X350" s="186">
        <f t="shared" si="1560"/>
        <v>0</v>
      </c>
      <c r="Y350" s="186">
        <f t="shared" si="1560"/>
        <v>0</v>
      </c>
      <c r="Z350" s="186">
        <f t="shared" si="1560"/>
        <v>0</v>
      </c>
      <c r="AA350" s="186">
        <f t="shared" si="1560"/>
        <v>0</v>
      </c>
      <c r="AB350" s="186">
        <f t="shared" si="1560"/>
        <v>0</v>
      </c>
      <c r="AC350" s="186">
        <f t="shared" si="1560"/>
        <v>0</v>
      </c>
      <c r="AD350" s="186">
        <f t="shared" si="1560"/>
        <v>0</v>
      </c>
      <c r="AE350" s="186">
        <f t="shared" si="1560"/>
        <v>0</v>
      </c>
      <c r="AF350" s="186">
        <f t="shared" ref="AF350:AG350" si="1561">+IFERROR(AF170/(AF$246*1000),"n/a")</f>
        <v>0</v>
      </c>
      <c r="AG350" s="186">
        <f t="shared" si="1561"/>
        <v>0</v>
      </c>
      <c r="AH350" s="186">
        <f t="shared" ref="AH350" si="1562">+IFERROR(AH170/(AH$246*1000),"n/a")</f>
        <v>0</v>
      </c>
      <c r="AI350" s="186">
        <f t="shared" ref="AI350" si="1563">+IFERROR(AI170/(AI$246*1000),"n/a")</f>
        <v>0</v>
      </c>
      <c r="AJ350" s="186">
        <f t="shared" ref="AJ350:AM350" si="1564">+IFERROR(AJ170/(AJ$246*1000),"n/a")</f>
        <v>0</v>
      </c>
      <c r="AK350" s="186">
        <f t="shared" si="1564"/>
        <v>0</v>
      </c>
      <c r="AL350" s="186">
        <f t="shared" si="1564"/>
        <v>0</v>
      </c>
      <c r="AM350" s="186">
        <f t="shared" si="1564"/>
        <v>0</v>
      </c>
      <c r="AO350" s="186" t="str">
        <f t="shared" ref="AO350:AW350" si="1565">+IFERROR(AO170/(AO$246*1000),"n/a")</f>
        <v>n/a</v>
      </c>
      <c r="AP350" s="186" t="str">
        <f t="shared" si="1565"/>
        <v>n/a</v>
      </c>
      <c r="AQ350" s="186" t="str">
        <f t="shared" si="1565"/>
        <v>n/a</v>
      </c>
      <c r="AR350" s="186" t="str">
        <f t="shared" si="1565"/>
        <v>n/a</v>
      </c>
      <c r="AS350" s="186">
        <f t="shared" si="1565"/>
        <v>0</v>
      </c>
      <c r="AT350" s="186">
        <f t="shared" si="1565"/>
        <v>0</v>
      </c>
      <c r="AU350" s="186">
        <f t="shared" si="1565"/>
        <v>0</v>
      </c>
      <c r="AV350" s="186">
        <f t="shared" si="1565"/>
        <v>0</v>
      </c>
      <c r="AW350" s="186">
        <f t="shared" si="1565"/>
        <v>0</v>
      </c>
      <c r="AX350" s="186">
        <f t="shared" ref="AX350" si="1566">+IFERROR(AX170/(AX$246*1000),"n/a")</f>
        <v>0</v>
      </c>
    </row>
    <row r="351" spans="2:50" ht="13.5" x14ac:dyDescent="0.35">
      <c r="B351" s="184" t="s">
        <v>226</v>
      </c>
      <c r="H351" s="187" t="str">
        <f t="shared" ref="H351:AE351" si="1567">+IFERROR(H171/(H$246*1000),"n/a")</f>
        <v>n/a</v>
      </c>
      <c r="I351" s="187" t="str">
        <f t="shared" si="1567"/>
        <v>n/a</v>
      </c>
      <c r="J351" s="187" t="str">
        <f t="shared" si="1567"/>
        <v>n/a</v>
      </c>
      <c r="K351" s="187" t="str">
        <f t="shared" si="1567"/>
        <v>n/a</v>
      </c>
      <c r="L351" s="187" t="str">
        <f t="shared" si="1567"/>
        <v>n/a</v>
      </c>
      <c r="M351" s="187" t="str">
        <f t="shared" si="1567"/>
        <v>n/a</v>
      </c>
      <c r="N351" s="187" t="str">
        <f t="shared" si="1567"/>
        <v>n/a</v>
      </c>
      <c r="O351" s="187" t="str">
        <f t="shared" si="1567"/>
        <v>n/a</v>
      </c>
      <c r="P351" s="187" t="str">
        <f t="shared" si="1567"/>
        <v>n/a</v>
      </c>
      <c r="Q351" s="187" t="str">
        <f t="shared" si="1567"/>
        <v>n/a</v>
      </c>
      <c r="R351" s="187" t="str">
        <f t="shared" si="1567"/>
        <v>n/a</v>
      </c>
      <c r="S351" s="187">
        <f t="shared" si="1567"/>
        <v>0.14117647058823529</v>
      </c>
      <c r="T351" s="187">
        <f t="shared" si="1567"/>
        <v>0.14117647058823529</v>
      </c>
      <c r="U351" s="187">
        <f t="shared" si="1567"/>
        <v>0.14117647058823529</v>
      </c>
      <c r="V351" s="187">
        <f t="shared" si="1567"/>
        <v>0.14117647058823529</v>
      </c>
      <c r="W351" s="187">
        <f t="shared" si="1567"/>
        <v>0.14117647058823529</v>
      </c>
      <c r="X351" s="187">
        <f t="shared" si="1567"/>
        <v>0.13529411764705884</v>
      </c>
      <c r="Y351" s="187">
        <f t="shared" si="1567"/>
        <v>0.12470588235294118</v>
      </c>
      <c r="Z351" s="187">
        <f t="shared" si="1567"/>
        <v>0.13058823529411764</v>
      </c>
      <c r="AA351" s="187">
        <f t="shared" si="1567"/>
        <v>0.14000000000000001</v>
      </c>
      <c r="AB351" s="187">
        <f t="shared" si="1567"/>
        <v>0.16000000000000003</v>
      </c>
      <c r="AC351" s="187">
        <f t="shared" si="1567"/>
        <v>0.15058823529411763</v>
      </c>
      <c r="AD351" s="187">
        <f t="shared" si="1567"/>
        <v>0.15529411764705883</v>
      </c>
      <c r="AE351" s="187">
        <f t="shared" si="1567"/>
        <v>0.1588235294117647</v>
      </c>
      <c r="AF351" s="187">
        <f t="shared" ref="AF351:AG351" si="1568">+IFERROR(AF171/(AF$246*1000),"n/a")</f>
        <v>0.1588235294117647</v>
      </c>
      <c r="AG351" s="187">
        <f t="shared" si="1568"/>
        <v>0.15882352941176472</v>
      </c>
      <c r="AH351" s="187">
        <f t="shared" ref="AH351" si="1569">+IFERROR(AH171/(AH$246*1000),"n/a")</f>
        <v>0.15882352941176472</v>
      </c>
      <c r="AI351" s="187">
        <f t="shared" ref="AI351" si="1570">+IFERROR(AI171/(AI$246*1000),"n/a")</f>
        <v>0.1588235294117647</v>
      </c>
      <c r="AJ351" s="187">
        <f t="shared" ref="AJ351:AM351" si="1571">+IFERROR(AJ171/(AJ$246*1000),"n/a")</f>
        <v>0.15882352941176472</v>
      </c>
      <c r="AK351" s="187">
        <f t="shared" si="1571"/>
        <v>0.15882352941176472</v>
      </c>
      <c r="AL351" s="187">
        <f t="shared" si="1571"/>
        <v>0.15882352941176472</v>
      </c>
      <c r="AM351" s="187">
        <f t="shared" si="1571"/>
        <v>0.15882352941176472</v>
      </c>
      <c r="AO351" s="187" t="str">
        <f t="shared" ref="AO351:AW351" si="1572">+IFERROR(AO171/(AO$246*1000),"n/a")</f>
        <v>n/a</v>
      </c>
      <c r="AP351" s="187" t="str">
        <f t="shared" si="1572"/>
        <v>n/a</v>
      </c>
      <c r="AQ351" s="187" t="str">
        <f t="shared" si="1572"/>
        <v>n/a</v>
      </c>
      <c r="AR351" s="187" t="str">
        <f t="shared" si="1572"/>
        <v>n/a</v>
      </c>
      <c r="AS351" s="187">
        <f t="shared" si="1572"/>
        <v>0.14117647058823529</v>
      </c>
      <c r="AT351" s="187">
        <f t="shared" si="1572"/>
        <v>0.14117647058823529</v>
      </c>
      <c r="AU351" s="187">
        <f t="shared" si="1572"/>
        <v>0.13268494336791084</v>
      </c>
      <c r="AV351" s="187">
        <f t="shared" si="1572"/>
        <v>0.15609339753227872</v>
      </c>
      <c r="AW351" s="187">
        <f t="shared" si="1572"/>
        <v>0.15882352941176475</v>
      </c>
      <c r="AX351" s="187">
        <f t="shared" ref="AX351" si="1573">+IFERROR(AX171/(AX$246*1000),"n/a")</f>
        <v>0.15882352941176472</v>
      </c>
    </row>
    <row r="352" spans="2:50" s="1" customFormat="1" x14ac:dyDescent="0.2">
      <c r="B352" s="38" t="s">
        <v>389</v>
      </c>
      <c r="H352" s="185" t="str">
        <f t="shared" ref="H352:AE352" si="1574">+IFERROR(H172/(H$246*1000),"n/a")</f>
        <v>n/a</v>
      </c>
      <c r="I352" s="185" t="str">
        <f t="shared" si="1574"/>
        <v>n/a</v>
      </c>
      <c r="J352" s="185" t="str">
        <f t="shared" si="1574"/>
        <v>n/a</v>
      </c>
      <c r="K352" s="185" t="str">
        <f t="shared" si="1574"/>
        <v>n/a</v>
      </c>
      <c r="L352" s="185" t="str">
        <f t="shared" si="1574"/>
        <v>n/a</v>
      </c>
      <c r="M352" s="185" t="str">
        <f t="shared" si="1574"/>
        <v>n/a</v>
      </c>
      <c r="N352" s="185" t="str">
        <f t="shared" si="1574"/>
        <v>n/a</v>
      </c>
      <c r="O352" s="185" t="str">
        <f t="shared" si="1574"/>
        <v>n/a</v>
      </c>
      <c r="P352" s="185" t="str">
        <f t="shared" si="1574"/>
        <v>n/a</v>
      </c>
      <c r="Q352" s="185" t="str">
        <f t="shared" si="1574"/>
        <v>n/a</v>
      </c>
      <c r="R352" s="185" t="str">
        <f t="shared" si="1574"/>
        <v>n/a</v>
      </c>
      <c r="S352" s="185">
        <f t="shared" si="1574"/>
        <v>0.14117647058823529</v>
      </c>
      <c r="T352" s="185">
        <f t="shared" si="1574"/>
        <v>0.14117647058823529</v>
      </c>
      <c r="U352" s="185">
        <f t="shared" si="1574"/>
        <v>0.14117647058823529</v>
      </c>
      <c r="V352" s="185">
        <f t="shared" si="1574"/>
        <v>0.14117647058823529</v>
      </c>
      <c r="W352" s="185">
        <f t="shared" si="1574"/>
        <v>0.14117647058823529</v>
      </c>
      <c r="X352" s="185">
        <f t="shared" si="1574"/>
        <v>0.13529411764705884</v>
      </c>
      <c r="Y352" s="185">
        <f t="shared" si="1574"/>
        <v>0.12470588235294118</v>
      </c>
      <c r="Z352" s="185">
        <f t="shared" si="1574"/>
        <v>0.13058823529411764</v>
      </c>
      <c r="AA352" s="185">
        <f t="shared" si="1574"/>
        <v>0.14000000000000001</v>
      </c>
      <c r="AB352" s="185">
        <f t="shared" si="1574"/>
        <v>0.16000000000000003</v>
      </c>
      <c r="AC352" s="185">
        <f t="shared" si="1574"/>
        <v>0.15058823529411763</v>
      </c>
      <c r="AD352" s="185">
        <f t="shared" si="1574"/>
        <v>0.15529411764705883</v>
      </c>
      <c r="AE352" s="185">
        <f t="shared" si="1574"/>
        <v>0.1588235294117647</v>
      </c>
      <c r="AF352" s="185">
        <f t="shared" ref="AF352:AG352" si="1575">+IFERROR(AF172/(AF$246*1000),"n/a")</f>
        <v>0.1588235294117647</v>
      </c>
      <c r="AG352" s="185">
        <f t="shared" si="1575"/>
        <v>0.15882352941176472</v>
      </c>
      <c r="AH352" s="185">
        <f t="shared" ref="AH352" si="1576">+IFERROR(AH172/(AH$246*1000),"n/a")</f>
        <v>0.15882352941176472</v>
      </c>
      <c r="AI352" s="185">
        <f t="shared" ref="AI352" si="1577">+IFERROR(AI172/(AI$246*1000),"n/a")</f>
        <v>0.1588235294117647</v>
      </c>
      <c r="AJ352" s="185">
        <f t="shared" ref="AJ352:AM352" si="1578">+IFERROR(AJ172/(AJ$246*1000),"n/a")</f>
        <v>0.15882352941176472</v>
      </c>
      <c r="AK352" s="185">
        <f t="shared" si="1578"/>
        <v>0.15882352941176472</v>
      </c>
      <c r="AL352" s="185">
        <f t="shared" si="1578"/>
        <v>0.15882352941176472</v>
      </c>
      <c r="AM352" s="185">
        <f t="shared" si="1578"/>
        <v>0.15882352941176472</v>
      </c>
      <c r="AO352" s="185" t="str">
        <f t="shared" ref="AO352:AW352" si="1579">+IFERROR(AO172/(AO$246*1000),"n/a")</f>
        <v>n/a</v>
      </c>
      <c r="AP352" s="185" t="str">
        <f t="shared" si="1579"/>
        <v>n/a</v>
      </c>
      <c r="AQ352" s="185" t="str">
        <f t="shared" si="1579"/>
        <v>n/a</v>
      </c>
      <c r="AR352" s="185" t="str">
        <f t="shared" si="1579"/>
        <v>n/a</v>
      </c>
      <c r="AS352" s="185">
        <f t="shared" si="1579"/>
        <v>0.14117647058823529</v>
      </c>
      <c r="AT352" s="185">
        <f t="shared" si="1579"/>
        <v>0.14117647058823529</v>
      </c>
      <c r="AU352" s="185">
        <f t="shared" si="1579"/>
        <v>0.13268494336791084</v>
      </c>
      <c r="AV352" s="185">
        <f t="shared" si="1579"/>
        <v>0.15609339753227872</v>
      </c>
      <c r="AW352" s="185">
        <f t="shared" si="1579"/>
        <v>0.15882352941176475</v>
      </c>
      <c r="AX352" s="185">
        <f t="shared" ref="AX352" si="1580">+IFERROR(AX172/(AX$246*1000),"n/a")</f>
        <v>0.15882352941176472</v>
      </c>
    </row>
    <row r="353" spans="2:50" s="1" customFormat="1" x14ac:dyDescent="0.2">
      <c r="B353" s="3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c r="AJ353" s="48"/>
      <c r="AK353" s="48"/>
      <c r="AL353" s="48"/>
      <c r="AM353" s="48"/>
    </row>
    <row r="354" spans="2:50" s="1" customFormat="1" x14ac:dyDescent="0.2">
      <c r="B354" s="19" t="s">
        <v>85</v>
      </c>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c r="AJ354" s="48"/>
      <c r="AK354" s="48"/>
      <c r="AL354" s="48"/>
      <c r="AM354" s="48"/>
    </row>
    <row r="355" spans="2:50" s="1" customFormat="1" x14ac:dyDescent="0.2">
      <c r="B355" s="20" t="s">
        <v>225</v>
      </c>
      <c r="H355" s="48"/>
      <c r="I355" s="48"/>
      <c r="J355" s="48"/>
      <c r="K355" s="48"/>
      <c r="L355" s="173" t="str">
        <f>+IFERROR(L350/H350-1,"n/a")</f>
        <v>n/a</v>
      </c>
      <c r="M355" s="173" t="str">
        <f t="shared" ref="M355:M357" si="1581">+IFERROR(M350/I350-1,"n/a")</f>
        <v>n/a</v>
      </c>
      <c r="N355" s="173" t="str">
        <f t="shared" ref="N355:N357" si="1582">+IFERROR(N350/J350-1,"n/a")</f>
        <v>n/a</v>
      </c>
      <c r="O355" s="173" t="str">
        <f t="shared" ref="O355:O357" si="1583">+IFERROR(O350/K350-1,"n/a")</f>
        <v>n/a</v>
      </c>
      <c r="P355" s="173" t="str">
        <f t="shared" ref="P355:P357" si="1584">+IFERROR(P350/L350-1,"n/a")</f>
        <v>n/a</v>
      </c>
      <c r="Q355" s="173" t="str">
        <f t="shared" ref="Q355:Q357" si="1585">+IFERROR(Q350/M350-1,"n/a")</f>
        <v>n/a</v>
      </c>
      <c r="R355" s="173" t="str">
        <f t="shared" ref="R355:R357" si="1586">+IFERROR(R350/N350-1,"n/a")</f>
        <v>n/a</v>
      </c>
      <c r="S355" s="173" t="str">
        <f t="shared" ref="S355:S357" si="1587">+IFERROR(S350/O350-1,"n/a")</f>
        <v>n/a</v>
      </c>
      <c r="T355" s="173" t="str">
        <f t="shared" ref="T355:T357" si="1588">+IFERROR(T350/P350-1,"n/a")</f>
        <v>n/a</v>
      </c>
      <c r="U355" s="173" t="str">
        <f t="shared" ref="U355:U357" si="1589">+IFERROR(U350/Q350-1,"n/a")</f>
        <v>n/a</v>
      </c>
      <c r="V355" s="173" t="str">
        <f t="shared" ref="V355:V357" si="1590">+IFERROR(V350/R350-1,"n/a")</f>
        <v>n/a</v>
      </c>
      <c r="W355" s="173" t="str">
        <f t="shared" ref="W355:W357" si="1591">+IFERROR(W350/S350-1,"n/a")</f>
        <v>n/a</v>
      </c>
      <c r="X355" s="173" t="str">
        <f t="shared" ref="X355:X357" si="1592">+IFERROR(X350/T350-1,"n/a")</f>
        <v>n/a</v>
      </c>
      <c r="Y355" s="173" t="str">
        <f t="shared" ref="Y355:Y357" si="1593">+IFERROR(Y350/U350-1,"n/a")</f>
        <v>n/a</v>
      </c>
      <c r="Z355" s="173" t="str">
        <f t="shared" ref="Z355:Z357" si="1594">+IFERROR(Z350/V350-1,"n/a")</f>
        <v>n/a</v>
      </c>
      <c r="AA355" s="173" t="str">
        <f t="shared" ref="AA355:AA357" si="1595">+IFERROR(AA350/W350-1,"n/a")</f>
        <v>n/a</v>
      </c>
      <c r="AB355" s="173" t="str">
        <f t="shared" ref="AB355:AB357" si="1596">+IFERROR(AB350/X350-1,"n/a")</f>
        <v>n/a</v>
      </c>
      <c r="AC355" s="173" t="str">
        <f t="shared" ref="AC355:AC357" si="1597">+IFERROR(AC350/Y350-1,"n/a")</f>
        <v>n/a</v>
      </c>
      <c r="AD355" s="173" t="str">
        <f t="shared" ref="AD355:AD357" si="1598">+IFERROR(AD350/Z350-1,"n/a")</f>
        <v>n/a</v>
      </c>
      <c r="AE355" s="173" t="str">
        <f t="shared" ref="AE355:AH357" si="1599">+IFERROR(AE350/AA350-1,"n/a")</f>
        <v>n/a</v>
      </c>
      <c r="AF355" s="173" t="str">
        <f t="shared" si="1599"/>
        <v>n/a</v>
      </c>
      <c r="AG355" s="173" t="str">
        <f t="shared" si="1599"/>
        <v>n/a</v>
      </c>
      <c r="AH355" s="173" t="str">
        <f t="shared" si="1599"/>
        <v>n/a</v>
      </c>
      <c r="AI355" s="173" t="str">
        <f t="shared" ref="AI355:AI357" si="1600">+IFERROR(AI350/AE350-1,"n/a")</f>
        <v>n/a</v>
      </c>
      <c r="AJ355" s="173" t="str">
        <f t="shared" ref="AJ355:AJ357" si="1601">+IFERROR(AJ350/AF350-1,"n/a")</f>
        <v>n/a</v>
      </c>
      <c r="AK355" s="173" t="str">
        <f t="shared" ref="AK355:AK357" si="1602">+IFERROR(AK350/AG350-1,"n/a")</f>
        <v>n/a</v>
      </c>
      <c r="AL355" s="173" t="str">
        <f t="shared" ref="AL355:AL357" si="1603">+IFERROR(AL350/AH350-1,"n/a")</f>
        <v>n/a</v>
      </c>
      <c r="AM355" s="173" t="str">
        <f t="shared" ref="AM355:AM357" si="1604">+IFERROR(AM350/AI350-1,"n/a")</f>
        <v>n/a</v>
      </c>
      <c r="AP355" s="173" t="str">
        <f>+IFERROR(AP350/AO350-1,"n/a")</f>
        <v>n/a</v>
      </c>
      <c r="AQ355" s="173" t="str">
        <f t="shared" ref="AQ355:AV355" si="1605">+IFERROR(AQ350/AP350-1,"n/a")</f>
        <v>n/a</v>
      </c>
      <c r="AR355" s="173" t="str">
        <f t="shared" si="1605"/>
        <v>n/a</v>
      </c>
      <c r="AS355" s="173" t="str">
        <f t="shared" si="1605"/>
        <v>n/a</v>
      </c>
      <c r="AT355" s="173" t="str">
        <f t="shared" si="1605"/>
        <v>n/a</v>
      </c>
      <c r="AU355" s="173" t="str">
        <f t="shared" si="1605"/>
        <v>n/a</v>
      </c>
      <c r="AV355" s="173" t="str">
        <f t="shared" si="1605"/>
        <v>n/a</v>
      </c>
      <c r="AW355" s="173" t="str">
        <f t="shared" ref="AW355:AX355" si="1606">+IFERROR(AW350/AV350-1,"n/a")</f>
        <v>n/a</v>
      </c>
      <c r="AX355" s="173" t="str">
        <f t="shared" si="1606"/>
        <v>n/a</v>
      </c>
    </row>
    <row r="356" spans="2:50" s="1" customFormat="1" ht="13.5" x14ac:dyDescent="0.35">
      <c r="B356" s="20" t="s">
        <v>226</v>
      </c>
      <c r="H356" s="48"/>
      <c r="I356" s="48"/>
      <c r="J356" s="48"/>
      <c r="K356" s="48"/>
      <c r="L356" s="180" t="str">
        <f t="shared" ref="L356:L357" si="1607">+IFERROR(L351/H351-1,"n/a")</f>
        <v>n/a</v>
      </c>
      <c r="M356" s="180" t="str">
        <f t="shared" si="1581"/>
        <v>n/a</v>
      </c>
      <c r="N356" s="180" t="str">
        <f t="shared" si="1582"/>
        <v>n/a</v>
      </c>
      <c r="O356" s="180" t="str">
        <f t="shared" si="1583"/>
        <v>n/a</v>
      </c>
      <c r="P356" s="180" t="str">
        <f t="shared" si="1584"/>
        <v>n/a</v>
      </c>
      <c r="Q356" s="180" t="str">
        <f t="shared" si="1585"/>
        <v>n/a</v>
      </c>
      <c r="R356" s="180" t="str">
        <f t="shared" si="1586"/>
        <v>n/a</v>
      </c>
      <c r="S356" s="180" t="str">
        <f t="shared" si="1587"/>
        <v>n/a</v>
      </c>
      <c r="T356" s="180" t="str">
        <f t="shared" si="1588"/>
        <v>n/a</v>
      </c>
      <c r="U356" s="180" t="str">
        <f t="shared" si="1589"/>
        <v>n/a</v>
      </c>
      <c r="V356" s="180" t="str">
        <f t="shared" si="1590"/>
        <v>n/a</v>
      </c>
      <c r="W356" s="180">
        <f t="shared" si="1591"/>
        <v>0</v>
      </c>
      <c r="X356" s="180">
        <f t="shared" si="1592"/>
        <v>-4.1666666666666519E-2</v>
      </c>
      <c r="Y356" s="180">
        <f t="shared" si="1593"/>
        <v>-0.11666666666666659</v>
      </c>
      <c r="Z356" s="180">
        <f t="shared" si="1594"/>
        <v>-7.4999999999999956E-2</v>
      </c>
      <c r="AA356" s="180">
        <f t="shared" si="1595"/>
        <v>-8.3333333333331927E-3</v>
      </c>
      <c r="AB356" s="180">
        <f t="shared" si="1596"/>
        <v>0.18260869565217397</v>
      </c>
      <c r="AC356" s="180">
        <f t="shared" si="1597"/>
        <v>0.20754716981132071</v>
      </c>
      <c r="AD356" s="180">
        <f t="shared" si="1598"/>
        <v>0.18918918918918926</v>
      </c>
      <c r="AE356" s="180">
        <f t="shared" si="1599"/>
        <v>0.13445378151260479</v>
      </c>
      <c r="AF356" s="180">
        <f t="shared" si="1599"/>
        <v>-7.3529411764707842E-3</v>
      </c>
      <c r="AG356" s="180">
        <f t="shared" si="1599"/>
        <v>5.4687500000000222E-2</v>
      </c>
      <c r="AH356" s="180">
        <f t="shared" si="1599"/>
        <v>2.2727272727272707E-2</v>
      </c>
      <c r="AI356" s="180">
        <f t="shared" si="1600"/>
        <v>0</v>
      </c>
      <c r="AJ356" s="180">
        <f t="shared" si="1601"/>
        <v>2.2204460492503131E-16</v>
      </c>
      <c r="AK356" s="180">
        <f t="shared" si="1602"/>
        <v>0</v>
      </c>
      <c r="AL356" s="180">
        <f t="shared" si="1603"/>
        <v>0</v>
      </c>
      <c r="AM356" s="180">
        <f t="shared" si="1604"/>
        <v>2.2204460492503131E-16</v>
      </c>
      <c r="AP356" s="180" t="str">
        <f t="shared" ref="AP356:AV356" si="1608">+IFERROR(AP351/AO351-1,"n/a")</f>
        <v>n/a</v>
      </c>
      <c r="AQ356" s="180" t="str">
        <f t="shared" si="1608"/>
        <v>n/a</v>
      </c>
      <c r="AR356" s="180" t="str">
        <f t="shared" si="1608"/>
        <v>n/a</v>
      </c>
      <c r="AS356" s="180" t="str">
        <f t="shared" si="1608"/>
        <v>n/a</v>
      </c>
      <c r="AT356" s="180">
        <f t="shared" si="1608"/>
        <v>0</v>
      </c>
      <c r="AU356" s="180">
        <f t="shared" si="1608"/>
        <v>-6.0148317810631569E-2</v>
      </c>
      <c r="AV356" s="180">
        <f t="shared" si="1608"/>
        <v>0.17642132988262693</v>
      </c>
      <c r="AW356" s="180">
        <f t="shared" ref="AW356:AX356" si="1609">+IFERROR(AW351/AV351-1,"n/a")</f>
        <v>1.7490373857238062E-2</v>
      </c>
      <c r="AX356" s="180">
        <f t="shared" si="1609"/>
        <v>-2.2204460492503131E-16</v>
      </c>
    </row>
    <row r="357" spans="2:50" s="1" customFormat="1" x14ac:dyDescent="0.2">
      <c r="B357" s="30" t="s">
        <v>389</v>
      </c>
      <c r="H357" s="48"/>
      <c r="I357" s="48"/>
      <c r="J357" s="48"/>
      <c r="K357" s="48"/>
      <c r="L357" s="173" t="str">
        <f t="shared" si="1607"/>
        <v>n/a</v>
      </c>
      <c r="M357" s="173" t="str">
        <f t="shared" si="1581"/>
        <v>n/a</v>
      </c>
      <c r="N357" s="173" t="str">
        <f t="shared" si="1582"/>
        <v>n/a</v>
      </c>
      <c r="O357" s="173" t="str">
        <f t="shared" si="1583"/>
        <v>n/a</v>
      </c>
      <c r="P357" s="173" t="str">
        <f t="shared" si="1584"/>
        <v>n/a</v>
      </c>
      <c r="Q357" s="173" t="str">
        <f t="shared" si="1585"/>
        <v>n/a</v>
      </c>
      <c r="R357" s="173" t="str">
        <f t="shared" si="1586"/>
        <v>n/a</v>
      </c>
      <c r="S357" s="173" t="str">
        <f t="shared" si="1587"/>
        <v>n/a</v>
      </c>
      <c r="T357" s="173" t="str">
        <f t="shared" si="1588"/>
        <v>n/a</v>
      </c>
      <c r="U357" s="173" t="str">
        <f t="shared" si="1589"/>
        <v>n/a</v>
      </c>
      <c r="V357" s="173" t="str">
        <f t="shared" si="1590"/>
        <v>n/a</v>
      </c>
      <c r="W357" s="173">
        <f t="shared" si="1591"/>
        <v>0</v>
      </c>
      <c r="X357" s="173">
        <f t="shared" si="1592"/>
        <v>-4.1666666666666519E-2</v>
      </c>
      <c r="Y357" s="173">
        <f t="shared" si="1593"/>
        <v>-0.11666666666666659</v>
      </c>
      <c r="Z357" s="173">
        <f t="shared" si="1594"/>
        <v>-7.4999999999999956E-2</v>
      </c>
      <c r="AA357" s="173">
        <f t="shared" si="1595"/>
        <v>-8.3333333333331927E-3</v>
      </c>
      <c r="AB357" s="173">
        <f t="shared" si="1596"/>
        <v>0.18260869565217397</v>
      </c>
      <c r="AC357" s="173">
        <f t="shared" si="1597"/>
        <v>0.20754716981132071</v>
      </c>
      <c r="AD357" s="173">
        <f t="shared" si="1598"/>
        <v>0.18918918918918926</v>
      </c>
      <c r="AE357" s="173">
        <f t="shared" si="1599"/>
        <v>0.13445378151260479</v>
      </c>
      <c r="AF357" s="173">
        <f t="shared" si="1599"/>
        <v>-7.3529411764707842E-3</v>
      </c>
      <c r="AG357" s="173">
        <f t="shared" si="1599"/>
        <v>5.4687500000000222E-2</v>
      </c>
      <c r="AH357" s="173">
        <f t="shared" si="1599"/>
        <v>2.2727272727272707E-2</v>
      </c>
      <c r="AI357" s="173">
        <f t="shared" si="1600"/>
        <v>0</v>
      </c>
      <c r="AJ357" s="173">
        <f t="shared" si="1601"/>
        <v>2.2204460492503131E-16</v>
      </c>
      <c r="AK357" s="173">
        <f t="shared" si="1602"/>
        <v>0</v>
      </c>
      <c r="AL357" s="173">
        <f t="shared" si="1603"/>
        <v>0</v>
      </c>
      <c r="AM357" s="173">
        <f t="shared" si="1604"/>
        <v>2.2204460492503131E-16</v>
      </c>
      <c r="AP357" s="173" t="str">
        <f t="shared" ref="AP357:AV357" si="1610">+IFERROR(AP352/AO352-1,"n/a")</f>
        <v>n/a</v>
      </c>
      <c r="AQ357" s="173" t="str">
        <f t="shared" si="1610"/>
        <v>n/a</v>
      </c>
      <c r="AR357" s="173" t="str">
        <f t="shared" si="1610"/>
        <v>n/a</v>
      </c>
      <c r="AS357" s="173" t="str">
        <f t="shared" si="1610"/>
        <v>n/a</v>
      </c>
      <c r="AT357" s="173">
        <f t="shared" si="1610"/>
        <v>0</v>
      </c>
      <c r="AU357" s="173">
        <f t="shared" si="1610"/>
        <v>-6.0148317810631569E-2</v>
      </c>
      <c r="AV357" s="173">
        <f t="shared" si="1610"/>
        <v>0.17642132988262693</v>
      </c>
      <c r="AW357" s="173">
        <f t="shared" ref="AW357:AX357" si="1611">+IFERROR(AW352/AV352-1,"n/a")</f>
        <v>1.7490373857238062E-2</v>
      </c>
      <c r="AX357" s="173">
        <f t="shared" si="1611"/>
        <v>-2.2204460492503131E-16</v>
      </c>
    </row>
    <row r="358" spans="2:50" s="1" customFormat="1" x14ac:dyDescent="0.2">
      <c r="B358" s="30"/>
      <c r="H358" s="48"/>
      <c r="I358" s="48"/>
      <c r="J358" s="48"/>
      <c r="K358" s="48"/>
      <c r="L358" s="173"/>
      <c r="M358" s="173"/>
      <c r="N358" s="173"/>
      <c r="O358" s="173"/>
      <c r="P358" s="173"/>
      <c r="Q358" s="173"/>
      <c r="R358" s="173"/>
      <c r="S358" s="173"/>
      <c r="T358" s="173"/>
      <c r="U358" s="173"/>
      <c r="V358" s="173"/>
      <c r="W358" s="173"/>
      <c r="X358" s="173"/>
      <c r="Y358" s="173"/>
      <c r="Z358" s="173"/>
      <c r="AA358" s="173"/>
      <c r="AB358" s="173"/>
      <c r="AC358" s="173"/>
      <c r="AD358" s="173"/>
      <c r="AE358" s="173"/>
      <c r="AF358" s="173"/>
      <c r="AG358" s="173"/>
      <c r="AH358" s="173"/>
      <c r="AI358" s="173"/>
      <c r="AJ358" s="173"/>
      <c r="AK358" s="173"/>
      <c r="AL358" s="173"/>
      <c r="AM358" s="173"/>
      <c r="AP358" s="173"/>
      <c r="AQ358" s="173"/>
      <c r="AR358" s="173"/>
      <c r="AS358" s="173"/>
      <c r="AT358" s="173"/>
      <c r="AU358" s="173"/>
      <c r="AV358" s="173"/>
      <c r="AW358" s="173"/>
      <c r="AX358" s="173"/>
    </row>
    <row r="359" spans="2:50" s="1" customFormat="1" x14ac:dyDescent="0.2">
      <c r="B359" s="19" t="s">
        <v>261</v>
      </c>
      <c r="H359" s="48"/>
      <c r="I359" s="48"/>
      <c r="J359" s="48"/>
      <c r="K359" s="48"/>
      <c r="L359" s="173"/>
      <c r="M359" s="173"/>
      <c r="N359" s="173"/>
      <c r="O359" s="173"/>
      <c r="P359" s="173"/>
      <c r="Q359" s="173"/>
      <c r="R359" s="173"/>
      <c r="S359" s="173"/>
      <c r="T359" s="173"/>
      <c r="U359" s="173"/>
      <c r="V359" s="173"/>
      <c r="W359" s="173"/>
      <c r="X359" s="173"/>
      <c r="Y359" s="173"/>
      <c r="Z359" s="173"/>
      <c r="AA359" s="173"/>
      <c r="AB359" s="173"/>
      <c r="AC359" s="173"/>
      <c r="AD359" s="173"/>
      <c r="AE359" s="173"/>
      <c r="AF359" s="173"/>
      <c r="AG359" s="173"/>
      <c r="AH359" s="173"/>
      <c r="AI359" s="173"/>
      <c r="AJ359" s="173"/>
      <c r="AK359" s="173"/>
      <c r="AL359" s="173"/>
      <c r="AM359" s="173"/>
      <c r="AP359" s="173"/>
      <c r="AQ359" s="173"/>
      <c r="AR359" s="173"/>
      <c r="AS359" s="173"/>
      <c r="AT359" s="173"/>
      <c r="AU359" s="173"/>
      <c r="AV359" s="173"/>
      <c r="AW359" s="173"/>
      <c r="AX359" s="173"/>
    </row>
    <row r="360" spans="2:50" s="1" customFormat="1" x14ac:dyDescent="0.2">
      <c r="B360" s="20" t="s">
        <v>225</v>
      </c>
      <c r="H360" s="48"/>
      <c r="I360" s="173" t="str">
        <f>+IFERROR(I350/H350-1,"n/a")</f>
        <v>n/a</v>
      </c>
      <c r="J360" s="173" t="str">
        <f t="shared" ref="J360:AH360" si="1612">+IFERROR(J350/I350-1,"n/a")</f>
        <v>n/a</v>
      </c>
      <c r="K360" s="173" t="str">
        <f t="shared" si="1612"/>
        <v>n/a</v>
      </c>
      <c r="L360" s="173" t="str">
        <f t="shared" si="1612"/>
        <v>n/a</v>
      </c>
      <c r="M360" s="173" t="str">
        <f t="shared" si="1612"/>
        <v>n/a</v>
      </c>
      <c r="N360" s="173" t="str">
        <f t="shared" si="1612"/>
        <v>n/a</v>
      </c>
      <c r="O360" s="173" t="str">
        <f t="shared" si="1612"/>
        <v>n/a</v>
      </c>
      <c r="P360" s="173" t="str">
        <f t="shared" si="1612"/>
        <v>n/a</v>
      </c>
      <c r="Q360" s="173" t="str">
        <f t="shared" si="1612"/>
        <v>n/a</v>
      </c>
      <c r="R360" s="173" t="str">
        <f t="shared" si="1612"/>
        <v>n/a</v>
      </c>
      <c r="S360" s="173" t="str">
        <f t="shared" si="1612"/>
        <v>n/a</v>
      </c>
      <c r="T360" s="173" t="str">
        <f t="shared" si="1612"/>
        <v>n/a</v>
      </c>
      <c r="U360" s="173" t="str">
        <f t="shared" si="1612"/>
        <v>n/a</v>
      </c>
      <c r="V360" s="173" t="str">
        <f t="shared" si="1612"/>
        <v>n/a</v>
      </c>
      <c r="W360" s="173" t="str">
        <f t="shared" si="1612"/>
        <v>n/a</v>
      </c>
      <c r="X360" s="173" t="str">
        <f t="shared" si="1612"/>
        <v>n/a</v>
      </c>
      <c r="Y360" s="173" t="str">
        <f t="shared" si="1612"/>
        <v>n/a</v>
      </c>
      <c r="Z360" s="173" t="str">
        <f t="shared" si="1612"/>
        <v>n/a</v>
      </c>
      <c r="AA360" s="173" t="str">
        <f t="shared" si="1612"/>
        <v>n/a</v>
      </c>
      <c r="AB360" s="173" t="str">
        <f t="shared" si="1612"/>
        <v>n/a</v>
      </c>
      <c r="AC360" s="173" t="str">
        <f t="shared" si="1612"/>
        <v>n/a</v>
      </c>
      <c r="AD360" s="173" t="str">
        <f t="shared" si="1612"/>
        <v>n/a</v>
      </c>
      <c r="AE360" s="173" t="str">
        <f t="shared" si="1612"/>
        <v>n/a</v>
      </c>
      <c r="AF360" s="173" t="str">
        <f t="shared" si="1612"/>
        <v>n/a</v>
      </c>
      <c r="AG360" s="173" t="str">
        <f t="shared" si="1612"/>
        <v>n/a</v>
      </c>
      <c r="AH360" s="173" t="str">
        <f t="shared" si="1612"/>
        <v>n/a</v>
      </c>
      <c r="AI360" s="173" t="str">
        <f t="shared" ref="AI360" si="1613">+IFERROR(AI350/AH350-1,"n/a")</f>
        <v>n/a</v>
      </c>
      <c r="AJ360" s="173" t="str">
        <f t="shared" ref="AJ360:AJ362" si="1614">+IFERROR(AJ350/AI350-1,"n/a")</f>
        <v>n/a</v>
      </c>
      <c r="AK360" s="173" t="str">
        <f t="shared" ref="AK360:AK362" si="1615">+IFERROR(AK350/AJ350-1,"n/a")</f>
        <v>n/a</v>
      </c>
      <c r="AL360" s="173" t="str">
        <f t="shared" ref="AL360:AL362" si="1616">+IFERROR(AL350/AK350-1,"n/a")</f>
        <v>n/a</v>
      </c>
      <c r="AM360" s="173" t="str">
        <f t="shared" ref="AM360:AM362" si="1617">+IFERROR(AM350/AL350-1,"n/a")</f>
        <v>n/a</v>
      </c>
      <c r="AP360" s="173"/>
      <c r="AQ360" s="173"/>
      <c r="AR360" s="173"/>
      <c r="AS360" s="173"/>
      <c r="AT360" s="173"/>
      <c r="AU360" s="173"/>
      <c r="AV360" s="173"/>
      <c r="AW360" s="173"/>
      <c r="AX360" s="173"/>
    </row>
    <row r="361" spans="2:50" s="1" customFormat="1" ht="13.5" x14ac:dyDescent="0.35">
      <c r="B361" s="20" t="s">
        <v>226</v>
      </c>
      <c r="H361" s="48"/>
      <c r="I361" s="180" t="str">
        <f t="shared" ref="I361:AH361" si="1618">+IFERROR(I351/H351-1,"n/a")</f>
        <v>n/a</v>
      </c>
      <c r="J361" s="180" t="str">
        <f t="shared" si="1618"/>
        <v>n/a</v>
      </c>
      <c r="K361" s="180" t="str">
        <f t="shared" si="1618"/>
        <v>n/a</v>
      </c>
      <c r="L361" s="180" t="str">
        <f t="shared" si="1618"/>
        <v>n/a</v>
      </c>
      <c r="M361" s="180" t="str">
        <f t="shared" si="1618"/>
        <v>n/a</v>
      </c>
      <c r="N361" s="180" t="str">
        <f t="shared" si="1618"/>
        <v>n/a</v>
      </c>
      <c r="O361" s="180" t="str">
        <f t="shared" si="1618"/>
        <v>n/a</v>
      </c>
      <c r="P361" s="180" t="str">
        <f t="shared" si="1618"/>
        <v>n/a</v>
      </c>
      <c r="Q361" s="180" t="str">
        <f t="shared" si="1618"/>
        <v>n/a</v>
      </c>
      <c r="R361" s="180" t="str">
        <f t="shared" si="1618"/>
        <v>n/a</v>
      </c>
      <c r="S361" s="180" t="str">
        <f t="shared" si="1618"/>
        <v>n/a</v>
      </c>
      <c r="T361" s="180">
        <f t="shared" si="1618"/>
        <v>0</v>
      </c>
      <c r="U361" s="180">
        <f t="shared" si="1618"/>
        <v>0</v>
      </c>
      <c r="V361" s="180">
        <f t="shared" si="1618"/>
        <v>0</v>
      </c>
      <c r="W361" s="180">
        <f t="shared" si="1618"/>
        <v>0</v>
      </c>
      <c r="X361" s="180">
        <f t="shared" si="1618"/>
        <v>-4.1666666666666519E-2</v>
      </c>
      <c r="Y361" s="180">
        <f t="shared" si="1618"/>
        <v>-7.8260869565217495E-2</v>
      </c>
      <c r="Z361" s="180">
        <f t="shared" si="1618"/>
        <v>4.7169811320754595E-2</v>
      </c>
      <c r="AA361" s="180">
        <f t="shared" si="1618"/>
        <v>7.2072072072072224E-2</v>
      </c>
      <c r="AB361" s="180">
        <f t="shared" si="1618"/>
        <v>0.14285714285714302</v>
      </c>
      <c r="AC361" s="180">
        <f t="shared" si="1618"/>
        <v>-5.8823529411764941E-2</v>
      </c>
      <c r="AD361" s="180">
        <f t="shared" si="1618"/>
        <v>3.1250000000000222E-2</v>
      </c>
      <c r="AE361" s="180">
        <f t="shared" si="1618"/>
        <v>2.2727272727272707E-2</v>
      </c>
      <c r="AF361" s="180">
        <f t="shared" si="1618"/>
        <v>0</v>
      </c>
      <c r="AG361" s="180">
        <f t="shared" si="1618"/>
        <v>2.2204460492503131E-16</v>
      </c>
      <c r="AH361" s="180">
        <f t="shared" si="1618"/>
        <v>0</v>
      </c>
      <c r="AI361" s="180">
        <f t="shared" ref="AI361" si="1619">+IFERROR(AI351/AH351-1,"n/a")</f>
        <v>-2.2204460492503131E-16</v>
      </c>
      <c r="AJ361" s="180">
        <f t="shared" si="1614"/>
        <v>2.2204460492503131E-16</v>
      </c>
      <c r="AK361" s="180">
        <f t="shared" si="1615"/>
        <v>0</v>
      </c>
      <c r="AL361" s="180">
        <f t="shared" si="1616"/>
        <v>0</v>
      </c>
      <c r="AM361" s="180">
        <f t="shared" si="1617"/>
        <v>0</v>
      </c>
      <c r="AP361" s="173"/>
      <c r="AQ361" s="173"/>
      <c r="AR361" s="173"/>
      <c r="AS361" s="173"/>
      <c r="AT361" s="173"/>
      <c r="AU361" s="173"/>
      <c r="AV361" s="173"/>
      <c r="AW361" s="173"/>
      <c r="AX361" s="173"/>
    </row>
    <row r="362" spans="2:50" s="1" customFormat="1" x14ac:dyDescent="0.2">
      <c r="B362" s="30" t="s">
        <v>389</v>
      </c>
      <c r="H362" s="48"/>
      <c r="I362" s="173" t="str">
        <f t="shared" ref="I362:AH362" si="1620">+IFERROR(I352/H352-1,"n/a")</f>
        <v>n/a</v>
      </c>
      <c r="J362" s="173" t="str">
        <f t="shared" si="1620"/>
        <v>n/a</v>
      </c>
      <c r="K362" s="173" t="str">
        <f t="shared" si="1620"/>
        <v>n/a</v>
      </c>
      <c r="L362" s="173" t="str">
        <f t="shared" si="1620"/>
        <v>n/a</v>
      </c>
      <c r="M362" s="173" t="str">
        <f t="shared" si="1620"/>
        <v>n/a</v>
      </c>
      <c r="N362" s="173" t="str">
        <f t="shared" si="1620"/>
        <v>n/a</v>
      </c>
      <c r="O362" s="173" t="str">
        <f t="shared" si="1620"/>
        <v>n/a</v>
      </c>
      <c r="P362" s="173" t="str">
        <f t="shared" si="1620"/>
        <v>n/a</v>
      </c>
      <c r="Q362" s="173" t="str">
        <f t="shared" si="1620"/>
        <v>n/a</v>
      </c>
      <c r="R362" s="173" t="str">
        <f t="shared" si="1620"/>
        <v>n/a</v>
      </c>
      <c r="S362" s="173" t="str">
        <f t="shared" si="1620"/>
        <v>n/a</v>
      </c>
      <c r="T362" s="173">
        <f t="shared" si="1620"/>
        <v>0</v>
      </c>
      <c r="U362" s="173">
        <f t="shared" si="1620"/>
        <v>0</v>
      </c>
      <c r="V362" s="173">
        <f t="shared" si="1620"/>
        <v>0</v>
      </c>
      <c r="W362" s="173">
        <f t="shared" si="1620"/>
        <v>0</v>
      </c>
      <c r="X362" s="173">
        <f t="shared" si="1620"/>
        <v>-4.1666666666666519E-2</v>
      </c>
      <c r="Y362" s="173">
        <f t="shared" si="1620"/>
        <v>-7.8260869565217495E-2</v>
      </c>
      <c r="Z362" s="173">
        <f t="shared" si="1620"/>
        <v>4.7169811320754595E-2</v>
      </c>
      <c r="AA362" s="173">
        <f t="shared" si="1620"/>
        <v>7.2072072072072224E-2</v>
      </c>
      <c r="AB362" s="173">
        <f t="shared" si="1620"/>
        <v>0.14285714285714302</v>
      </c>
      <c r="AC362" s="173">
        <f t="shared" si="1620"/>
        <v>-5.8823529411764941E-2</v>
      </c>
      <c r="AD362" s="173">
        <f t="shared" si="1620"/>
        <v>3.1250000000000222E-2</v>
      </c>
      <c r="AE362" s="173">
        <f t="shared" si="1620"/>
        <v>2.2727272727272707E-2</v>
      </c>
      <c r="AF362" s="173">
        <f t="shared" si="1620"/>
        <v>0</v>
      </c>
      <c r="AG362" s="173">
        <f t="shared" si="1620"/>
        <v>2.2204460492503131E-16</v>
      </c>
      <c r="AH362" s="173">
        <f t="shared" si="1620"/>
        <v>0</v>
      </c>
      <c r="AI362" s="173">
        <f t="shared" ref="AI362" si="1621">+IFERROR(AI352/AH352-1,"n/a")</f>
        <v>-2.2204460492503131E-16</v>
      </c>
      <c r="AJ362" s="173">
        <f t="shared" si="1614"/>
        <v>2.2204460492503131E-16</v>
      </c>
      <c r="AK362" s="173">
        <f t="shared" si="1615"/>
        <v>0</v>
      </c>
      <c r="AL362" s="173">
        <f t="shared" si="1616"/>
        <v>0</v>
      </c>
      <c r="AM362" s="173">
        <f t="shared" si="1617"/>
        <v>0</v>
      </c>
      <c r="AP362" s="173"/>
      <c r="AQ362" s="173"/>
      <c r="AR362" s="173"/>
      <c r="AS362" s="173"/>
      <c r="AT362" s="173"/>
      <c r="AU362" s="173"/>
      <c r="AV362" s="173"/>
      <c r="AW362" s="173"/>
      <c r="AX362" s="173"/>
    </row>
    <row r="364" spans="2:50" x14ac:dyDescent="0.2">
      <c r="B364" s="24" t="s">
        <v>372</v>
      </c>
    </row>
    <row r="365" spans="2:50" x14ac:dyDescent="0.2">
      <c r="B365" s="184" t="s">
        <v>225</v>
      </c>
      <c r="H365" s="186" t="str">
        <f t="shared" ref="H365:AE365" si="1622">+IFERROR(H185/(H$248*1000),"n/a")</f>
        <v>n/a</v>
      </c>
      <c r="I365" s="186" t="str">
        <f t="shared" si="1622"/>
        <v>n/a</v>
      </c>
      <c r="J365" s="186" t="str">
        <f t="shared" si="1622"/>
        <v>n/a</v>
      </c>
      <c r="K365" s="186" t="str">
        <f t="shared" si="1622"/>
        <v>n/a</v>
      </c>
      <c r="L365" s="186" t="str">
        <f t="shared" si="1622"/>
        <v>n/a</v>
      </c>
      <c r="M365" s="186" t="str">
        <f t="shared" si="1622"/>
        <v>n/a</v>
      </c>
      <c r="N365" s="186" t="str">
        <f t="shared" si="1622"/>
        <v>n/a</v>
      </c>
      <c r="O365" s="186" t="str">
        <f t="shared" si="1622"/>
        <v>n/a</v>
      </c>
      <c r="P365" s="186" t="str">
        <f t="shared" si="1622"/>
        <v>n/a</v>
      </c>
      <c r="Q365" s="186" t="str">
        <f t="shared" si="1622"/>
        <v>n/a</v>
      </c>
      <c r="R365" s="186" t="str">
        <f t="shared" si="1622"/>
        <v>n/a</v>
      </c>
      <c r="S365" s="186" t="str">
        <f t="shared" si="1622"/>
        <v>n/a</v>
      </c>
      <c r="T365" s="186" t="str">
        <f t="shared" si="1622"/>
        <v>n/a</v>
      </c>
      <c r="U365" s="186" t="str">
        <f t="shared" si="1622"/>
        <v>n/a</v>
      </c>
      <c r="V365" s="186" t="str">
        <f t="shared" si="1622"/>
        <v>n/a</v>
      </c>
      <c r="W365" s="186" t="str">
        <f t="shared" si="1622"/>
        <v>n/a</v>
      </c>
      <c r="X365" s="186" t="str">
        <f t="shared" si="1622"/>
        <v>n/a</v>
      </c>
      <c r="Y365" s="186" t="str">
        <f t="shared" si="1622"/>
        <v>n/a</v>
      </c>
      <c r="Z365" s="186">
        <f t="shared" si="1622"/>
        <v>0</v>
      </c>
      <c r="AA365" s="186">
        <f t="shared" si="1622"/>
        <v>0</v>
      </c>
      <c r="AB365" s="186">
        <f t="shared" si="1622"/>
        <v>0</v>
      </c>
      <c r="AC365" s="186">
        <f t="shared" si="1622"/>
        <v>0</v>
      </c>
      <c r="AD365" s="186">
        <f t="shared" si="1622"/>
        <v>0</v>
      </c>
      <c r="AE365" s="186">
        <f t="shared" si="1622"/>
        <v>0</v>
      </c>
      <c r="AF365" s="186">
        <f t="shared" ref="AF365:AG365" si="1623">+IFERROR(AF185/(AF$248*1000),"n/a")</f>
        <v>0</v>
      </c>
      <c r="AG365" s="186">
        <f t="shared" si="1623"/>
        <v>0</v>
      </c>
      <c r="AH365" s="186">
        <f t="shared" ref="AH365" si="1624">+IFERROR(AH185/(AH$248*1000),"n/a")</f>
        <v>0</v>
      </c>
      <c r="AI365" s="186">
        <f t="shared" ref="AI365" si="1625">+IFERROR(AI185/(AI$248*1000),"n/a")</f>
        <v>0</v>
      </c>
      <c r="AJ365" s="186">
        <f t="shared" ref="AJ365:AM365" si="1626">+IFERROR(AJ185/(AJ$248*1000),"n/a")</f>
        <v>0</v>
      </c>
      <c r="AK365" s="186">
        <f t="shared" si="1626"/>
        <v>0</v>
      </c>
      <c r="AL365" s="186">
        <f t="shared" si="1626"/>
        <v>0</v>
      </c>
      <c r="AM365" s="186">
        <f t="shared" si="1626"/>
        <v>0</v>
      </c>
      <c r="AO365" s="186" t="str">
        <f t="shared" ref="AO365:AW365" si="1627">+IFERROR(AO185/(AO$248*1000),"n/a")</f>
        <v>n/a</v>
      </c>
      <c r="AP365" s="186" t="str">
        <f t="shared" si="1627"/>
        <v>n/a</v>
      </c>
      <c r="AQ365" s="186" t="str">
        <f t="shared" si="1627"/>
        <v>n/a</v>
      </c>
      <c r="AR365" s="186" t="str">
        <f t="shared" si="1627"/>
        <v>n/a</v>
      </c>
      <c r="AS365" s="186" t="str">
        <f t="shared" si="1627"/>
        <v>n/a</v>
      </c>
      <c r="AT365" s="186" t="str">
        <f t="shared" si="1627"/>
        <v>n/a</v>
      </c>
      <c r="AU365" s="186">
        <f t="shared" si="1627"/>
        <v>0</v>
      </c>
      <c r="AV365" s="186">
        <f t="shared" si="1627"/>
        <v>0</v>
      </c>
      <c r="AW365" s="186">
        <f t="shared" si="1627"/>
        <v>0</v>
      </c>
      <c r="AX365" s="186">
        <f t="shared" ref="AX365" si="1628">+IFERROR(AX185/(AX$248*1000),"n/a")</f>
        <v>0</v>
      </c>
    </row>
    <row r="366" spans="2:50" ht="13.5" x14ac:dyDescent="0.35">
      <c r="B366" s="184" t="s">
        <v>226</v>
      </c>
      <c r="H366" s="187" t="str">
        <f t="shared" ref="H366:AE366" si="1629">+IFERROR(H186/(H$248*1000),"n/a")</f>
        <v>n/a</v>
      </c>
      <c r="I366" s="187" t="str">
        <f t="shared" si="1629"/>
        <v>n/a</v>
      </c>
      <c r="J366" s="187" t="str">
        <f t="shared" si="1629"/>
        <v>n/a</v>
      </c>
      <c r="K366" s="187" t="str">
        <f t="shared" si="1629"/>
        <v>n/a</v>
      </c>
      <c r="L366" s="187" t="str">
        <f t="shared" si="1629"/>
        <v>n/a</v>
      </c>
      <c r="M366" s="187" t="str">
        <f t="shared" si="1629"/>
        <v>n/a</v>
      </c>
      <c r="N366" s="187" t="str">
        <f t="shared" si="1629"/>
        <v>n/a</v>
      </c>
      <c r="O366" s="187" t="str">
        <f t="shared" si="1629"/>
        <v>n/a</v>
      </c>
      <c r="P366" s="187" t="str">
        <f t="shared" si="1629"/>
        <v>n/a</v>
      </c>
      <c r="Q366" s="187" t="str">
        <f t="shared" si="1629"/>
        <v>n/a</v>
      </c>
      <c r="R366" s="187" t="str">
        <f t="shared" si="1629"/>
        <v>n/a</v>
      </c>
      <c r="S366" s="187" t="str">
        <f t="shared" si="1629"/>
        <v>n/a</v>
      </c>
      <c r="T366" s="187" t="str">
        <f t="shared" si="1629"/>
        <v>n/a</v>
      </c>
      <c r="U366" s="187" t="str">
        <f t="shared" si="1629"/>
        <v>n/a</v>
      </c>
      <c r="V366" s="187" t="str">
        <f t="shared" si="1629"/>
        <v>n/a</v>
      </c>
      <c r="W366" s="187" t="str">
        <f t="shared" si="1629"/>
        <v>n/a</v>
      </c>
      <c r="X366" s="187" t="str">
        <f t="shared" si="1629"/>
        <v>n/a</v>
      </c>
      <c r="Y366" s="187" t="str">
        <f t="shared" si="1629"/>
        <v>n/a</v>
      </c>
      <c r="Z366" s="187">
        <f t="shared" si="1629"/>
        <v>0</v>
      </c>
      <c r="AA366" s="187">
        <f t="shared" si="1629"/>
        <v>0.24779300363015813</v>
      </c>
      <c r="AB366" s="187">
        <f t="shared" si="1629"/>
        <v>0.2932234691695112</v>
      </c>
      <c r="AC366" s="187">
        <f t="shared" si="1629"/>
        <v>0.26043384234753264</v>
      </c>
      <c r="AD366" s="187">
        <f t="shared" si="1629"/>
        <v>0.53175261190861689</v>
      </c>
      <c r="AE366" s="187">
        <f t="shared" si="1629"/>
        <v>0.52941176470588247</v>
      </c>
      <c r="AF366" s="187">
        <f t="shared" ref="AF366:AG366" si="1630">+IFERROR(AF186/(AF$248*1000),"n/a")</f>
        <v>0.58823529411764697</v>
      </c>
      <c r="AG366" s="187">
        <f t="shared" si="1630"/>
        <v>0.52941176470588236</v>
      </c>
      <c r="AH366" s="187">
        <f t="shared" ref="AH366" si="1631">+IFERROR(AH186/(AH$248*1000),"n/a")</f>
        <v>0.52941176470588247</v>
      </c>
      <c r="AI366" s="187">
        <f t="shared" ref="AI366" si="1632">+IFERROR(AI186/(AI$248*1000),"n/a")</f>
        <v>0.52941176470588236</v>
      </c>
      <c r="AJ366" s="187">
        <f t="shared" ref="AJ366:AM366" si="1633">+IFERROR(AJ186/(AJ$248*1000),"n/a")</f>
        <v>0.52941176470588247</v>
      </c>
      <c r="AK366" s="187">
        <f t="shared" si="1633"/>
        <v>0.52941176470588247</v>
      </c>
      <c r="AL366" s="187">
        <f t="shared" si="1633"/>
        <v>0.52941176470588236</v>
      </c>
      <c r="AM366" s="187">
        <f t="shared" si="1633"/>
        <v>0.52941176470588247</v>
      </c>
      <c r="AO366" s="187" t="str">
        <f t="shared" ref="AO366:AW366" si="1634">+IFERROR(AO186/(AO$248*1000),"n/a")</f>
        <v>n/a</v>
      </c>
      <c r="AP366" s="187" t="str">
        <f t="shared" si="1634"/>
        <v>n/a</v>
      </c>
      <c r="AQ366" s="187" t="str">
        <f t="shared" si="1634"/>
        <v>n/a</v>
      </c>
      <c r="AR366" s="187" t="str">
        <f t="shared" si="1634"/>
        <v>n/a</v>
      </c>
      <c r="AS366" s="187" t="str">
        <f t="shared" si="1634"/>
        <v>n/a</v>
      </c>
      <c r="AT366" s="187" t="str">
        <f t="shared" si="1634"/>
        <v>n/a</v>
      </c>
      <c r="AU366" s="187">
        <f t="shared" si="1634"/>
        <v>0.24461995011810875</v>
      </c>
      <c r="AV366" s="187">
        <f t="shared" si="1634"/>
        <v>0.47655873142143118</v>
      </c>
      <c r="AW366" s="187">
        <f t="shared" si="1634"/>
        <v>0.54128244169013473</v>
      </c>
      <c r="AX366" s="187">
        <f t="shared" ref="AX366" si="1635">+IFERROR(AX186/(AX$248*1000),"n/a")</f>
        <v>0.52941176470588247</v>
      </c>
    </row>
    <row r="367" spans="2:50" s="1" customFormat="1" x14ac:dyDescent="0.2">
      <c r="B367" s="38" t="s">
        <v>390</v>
      </c>
      <c r="H367" s="185" t="str">
        <f t="shared" ref="H367:AE367" si="1636">+IFERROR(H187/(H$248*1000),"n/a")</f>
        <v>n/a</v>
      </c>
      <c r="I367" s="185" t="str">
        <f t="shared" si="1636"/>
        <v>n/a</v>
      </c>
      <c r="J367" s="185" t="str">
        <f t="shared" si="1636"/>
        <v>n/a</v>
      </c>
      <c r="K367" s="185" t="str">
        <f t="shared" si="1636"/>
        <v>n/a</v>
      </c>
      <c r="L367" s="185" t="str">
        <f t="shared" si="1636"/>
        <v>n/a</v>
      </c>
      <c r="M367" s="185" t="str">
        <f t="shared" si="1636"/>
        <v>n/a</v>
      </c>
      <c r="N367" s="185" t="str">
        <f t="shared" si="1636"/>
        <v>n/a</v>
      </c>
      <c r="O367" s="185" t="str">
        <f t="shared" si="1636"/>
        <v>n/a</v>
      </c>
      <c r="P367" s="185" t="str">
        <f t="shared" si="1636"/>
        <v>n/a</v>
      </c>
      <c r="Q367" s="185" t="str">
        <f t="shared" si="1636"/>
        <v>n/a</v>
      </c>
      <c r="R367" s="185" t="str">
        <f t="shared" si="1636"/>
        <v>n/a</v>
      </c>
      <c r="S367" s="185" t="str">
        <f t="shared" si="1636"/>
        <v>n/a</v>
      </c>
      <c r="T367" s="185" t="str">
        <f t="shared" si="1636"/>
        <v>n/a</v>
      </c>
      <c r="U367" s="185" t="str">
        <f t="shared" si="1636"/>
        <v>n/a</v>
      </c>
      <c r="V367" s="185" t="str">
        <f t="shared" si="1636"/>
        <v>n/a</v>
      </c>
      <c r="W367" s="185" t="str">
        <f t="shared" si="1636"/>
        <v>n/a</v>
      </c>
      <c r="X367" s="185" t="str">
        <f t="shared" si="1636"/>
        <v>n/a</v>
      </c>
      <c r="Y367" s="185" t="str">
        <f t="shared" si="1636"/>
        <v>n/a</v>
      </c>
      <c r="Z367" s="185">
        <f t="shared" si="1636"/>
        <v>0</v>
      </c>
      <c r="AA367" s="185">
        <f t="shared" si="1636"/>
        <v>0.24779300363015813</v>
      </c>
      <c r="AB367" s="185">
        <f t="shared" si="1636"/>
        <v>0.2932234691695112</v>
      </c>
      <c r="AC367" s="185">
        <f t="shared" si="1636"/>
        <v>0.26043384234753264</v>
      </c>
      <c r="AD367" s="185">
        <f t="shared" si="1636"/>
        <v>0.53175261190861689</v>
      </c>
      <c r="AE367" s="185">
        <f t="shared" si="1636"/>
        <v>0.52941176470588247</v>
      </c>
      <c r="AF367" s="185">
        <f t="shared" ref="AF367:AG367" si="1637">+IFERROR(AF187/(AF$248*1000),"n/a")</f>
        <v>0.58823529411764697</v>
      </c>
      <c r="AG367" s="185">
        <f t="shared" si="1637"/>
        <v>0.52941176470588236</v>
      </c>
      <c r="AH367" s="185">
        <f t="shared" ref="AH367" si="1638">+IFERROR(AH187/(AH$248*1000),"n/a")</f>
        <v>0.52941176470588247</v>
      </c>
      <c r="AI367" s="185">
        <f t="shared" ref="AI367" si="1639">+IFERROR(AI187/(AI$248*1000),"n/a")</f>
        <v>0.52941176470588236</v>
      </c>
      <c r="AJ367" s="185">
        <f t="shared" ref="AJ367:AM367" si="1640">+IFERROR(AJ187/(AJ$248*1000),"n/a")</f>
        <v>0.52941176470588247</v>
      </c>
      <c r="AK367" s="185">
        <f t="shared" si="1640"/>
        <v>0.52941176470588247</v>
      </c>
      <c r="AL367" s="185">
        <f t="shared" si="1640"/>
        <v>0.52941176470588236</v>
      </c>
      <c r="AM367" s="185">
        <f t="shared" si="1640"/>
        <v>0.52941176470588247</v>
      </c>
      <c r="AO367" s="185" t="str">
        <f t="shared" ref="AO367:AW367" si="1641">+IFERROR(AO187/(AO$248*1000),"n/a")</f>
        <v>n/a</v>
      </c>
      <c r="AP367" s="185" t="str">
        <f t="shared" si="1641"/>
        <v>n/a</v>
      </c>
      <c r="AQ367" s="185" t="str">
        <f t="shared" si="1641"/>
        <v>n/a</v>
      </c>
      <c r="AR367" s="185" t="str">
        <f t="shared" si="1641"/>
        <v>n/a</v>
      </c>
      <c r="AS367" s="185" t="str">
        <f t="shared" si="1641"/>
        <v>n/a</v>
      </c>
      <c r="AT367" s="185" t="str">
        <f t="shared" si="1641"/>
        <v>n/a</v>
      </c>
      <c r="AU367" s="185">
        <f t="shared" si="1641"/>
        <v>0.24461995011810875</v>
      </c>
      <c r="AV367" s="185">
        <f t="shared" si="1641"/>
        <v>0.47655873142143118</v>
      </c>
      <c r="AW367" s="185">
        <f t="shared" si="1641"/>
        <v>0.54128244169013473</v>
      </c>
      <c r="AX367" s="185">
        <f t="shared" ref="AX367" si="1642">+IFERROR(AX187/(AX$248*1000),"n/a")</f>
        <v>0.52941176470588247</v>
      </c>
    </row>
    <row r="368" spans="2:50" s="1" customFormat="1" x14ac:dyDescent="0.2">
      <c r="B368" s="38"/>
      <c r="H368" s="48"/>
      <c r="I368" s="48"/>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c r="AI368" s="48"/>
      <c r="AJ368" s="48"/>
      <c r="AK368" s="48"/>
      <c r="AL368" s="48"/>
      <c r="AM368" s="48"/>
    </row>
    <row r="369" spans="2:50" s="1" customFormat="1" x14ac:dyDescent="0.2">
      <c r="B369" s="19" t="s">
        <v>85</v>
      </c>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c r="AM369" s="48"/>
    </row>
    <row r="370" spans="2:50" s="1" customFormat="1" x14ac:dyDescent="0.2">
      <c r="B370" s="20" t="s">
        <v>225</v>
      </c>
      <c r="H370" s="48"/>
      <c r="I370" s="48"/>
      <c r="J370" s="48"/>
      <c r="K370" s="48"/>
      <c r="L370" s="173" t="str">
        <f>+IFERROR(L365/H365-1,"n/a")</f>
        <v>n/a</v>
      </c>
      <c r="M370" s="173" t="str">
        <f t="shared" ref="M370:M372" si="1643">+IFERROR(M365/I365-1,"n/a")</f>
        <v>n/a</v>
      </c>
      <c r="N370" s="173" t="str">
        <f t="shared" ref="N370:N372" si="1644">+IFERROR(N365/J365-1,"n/a")</f>
        <v>n/a</v>
      </c>
      <c r="O370" s="173" t="str">
        <f t="shared" ref="O370:O372" si="1645">+IFERROR(O365/K365-1,"n/a")</f>
        <v>n/a</v>
      </c>
      <c r="P370" s="173" t="str">
        <f t="shared" ref="P370:P372" si="1646">+IFERROR(P365/L365-1,"n/a")</f>
        <v>n/a</v>
      </c>
      <c r="Q370" s="173" t="str">
        <f t="shared" ref="Q370:Q372" si="1647">+IFERROR(Q365/M365-1,"n/a")</f>
        <v>n/a</v>
      </c>
      <c r="R370" s="173" t="str">
        <f t="shared" ref="R370:R372" si="1648">+IFERROR(R365/N365-1,"n/a")</f>
        <v>n/a</v>
      </c>
      <c r="S370" s="173" t="str">
        <f t="shared" ref="S370:S372" si="1649">+IFERROR(S365/O365-1,"n/a")</f>
        <v>n/a</v>
      </c>
      <c r="T370" s="173" t="str">
        <f t="shared" ref="T370:T372" si="1650">+IFERROR(T365/P365-1,"n/a")</f>
        <v>n/a</v>
      </c>
      <c r="U370" s="173" t="str">
        <f t="shared" ref="U370:U372" si="1651">+IFERROR(U365/Q365-1,"n/a")</f>
        <v>n/a</v>
      </c>
      <c r="V370" s="173" t="str">
        <f t="shared" ref="V370:V372" si="1652">+IFERROR(V365/R365-1,"n/a")</f>
        <v>n/a</v>
      </c>
      <c r="W370" s="173" t="str">
        <f t="shared" ref="W370:W372" si="1653">+IFERROR(W365/S365-1,"n/a")</f>
        <v>n/a</v>
      </c>
      <c r="X370" s="173" t="str">
        <f t="shared" ref="X370:X372" si="1654">+IFERROR(X365/T365-1,"n/a")</f>
        <v>n/a</v>
      </c>
      <c r="Y370" s="173" t="str">
        <f t="shared" ref="Y370:Y372" si="1655">+IFERROR(Y365/U365-1,"n/a")</f>
        <v>n/a</v>
      </c>
      <c r="Z370" s="173" t="str">
        <f t="shared" ref="Z370:Z372" si="1656">+IFERROR(Z365/V365-1,"n/a")</f>
        <v>n/a</v>
      </c>
      <c r="AA370" s="173" t="str">
        <f t="shared" ref="AA370:AA372" si="1657">+IFERROR(AA365/W365-1,"n/a")</f>
        <v>n/a</v>
      </c>
      <c r="AB370" s="173" t="str">
        <f t="shared" ref="AB370:AB372" si="1658">+IFERROR(AB365/X365-1,"n/a")</f>
        <v>n/a</v>
      </c>
      <c r="AC370" s="173" t="str">
        <f t="shared" ref="AC370:AC372" si="1659">+IFERROR(AC365/Y365-1,"n/a")</f>
        <v>n/a</v>
      </c>
      <c r="AD370" s="173" t="str">
        <f t="shared" ref="AD370:AD372" si="1660">+IFERROR(AD365/Z365-1,"n/a")</f>
        <v>n/a</v>
      </c>
      <c r="AE370" s="173" t="str">
        <f t="shared" ref="AE370:AH372" si="1661">+IFERROR(AE365/AA365-1,"n/a")</f>
        <v>n/a</v>
      </c>
      <c r="AF370" s="173" t="str">
        <f t="shared" si="1661"/>
        <v>n/a</v>
      </c>
      <c r="AG370" s="173" t="str">
        <f t="shared" si="1661"/>
        <v>n/a</v>
      </c>
      <c r="AH370" s="173" t="str">
        <f t="shared" si="1661"/>
        <v>n/a</v>
      </c>
      <c r="AI370" s="173" t="str">
        <f t="shared" ref="AI370:AI372" si="1662">+IFERROR(AI365/AE365-1,"n/a")</f>
        <v>n/a</v>
      </c>
      <c r="AJ370" s="173" t="str">
        <f t="shared" ref="AJ370:AJ372" si="1663">+IFERROR(AJ365/AF365-1,"n/a")</f>
        <v>n/a</v>
      </c>
      <c r="AK370" s="173" t="str">
        <f t="shared" ref="AK370:AK372" si="1664">+IFERROR(AK365/AG365-1,"n/a")</f>
        <v>n/a</v>
      </c>
      <c r="AL370" s="173" t="str">
        <f t="shared" ref="AL370:AL372" si="1665">+IFERROR(AL365/AH365-1,"n/a")</f>
        <v>n/a</v>
      </c>
      <c r="AM370" s="173" t="str">
        <f t="shared" ref="AM370:AM372" si="1666">+IFERROR(AM365/AI365-1,"n/a")</f>
        <v>n/a</v>
      </c>
      <c r="AP370" s="173" t="str">
        <f>+IFERROR(AP365/AO365-1,"n/a")</f>
        <v>n/a</v>
      </c>
      <c r="AQ370" s="173" t="str">
        <f t="shared" ref="AQ370:AV370" si="1667">+IFERROR(AQ365/AP365-1,"n/a")</f>
        <v>n/a</v>
      </c>
      <c r="AR370" s="173" t="str">
        <f t="shared" si="1667"/>
        <v>n/a</v>
      </c>
      <c r="AS370" s="173" t="str">
        <f t="shared" si="1667"/>
        <v>n/a</v>
      </c>
      <c r="AT370" s="173" t="str">
        <f t="shared" si="1667"/>
        <v>n/a</v>
      </c>
      <c r="AU370" s="173" t="str">
        <f t="shared" si="1667"/>
        <v>n/a</v>
      </c>
      <c r="AV370" s="173" t="str">
        <f t="shared" si="1667"/>
        <v>n/a</v>
      </c>
      <c r="AW370" s="173" t="str">
        <f t="shared" ref="AW370:AX370" si="1668">+IFERROR(AW365/AV365-1,"n/a")</f>
        <v>n/a</v>
      </c>
      <c r="AX370" s="173" t="str">
        <f t="shared" si="1668"/>
        <v>n/a</v>
      </c>
    </row>
    <row r="371" spans="2:50" s="1" customFormat="1" ht="13.5" x14ac:dyDescent="0.35">
      <c r="B371" s="20" t="s">
        <v>226</v>
      </c>
      <c r="H371" s="48"/>
      <c r="I371" s="48"/>
      <c r="J371" s="48"/>
      <c r="K371" s="48"/>
      <c r="L371" s="180" t="str">
        <f t="shared" ref="L371:L372" si="1669">+IFERROR(L366/H366-1,"n/a")</f>
        <v>n/a</v>
      </c>
      <c r="M371" s="180" t="str">
        <f t="shared" si="1643"/>
        <v>n/a</v>
      </c>
      <c r="N371" s="180" t="str">
        <f t="shared" si="1644"/>
        <v>n/a</v>
      </c>
      <c r="O371" s="180" t="str">
        <f t="shared" si="1645"/>
        <v>n/a</v>
      </c>
      <c r="P371" s="180" t="str">
        <f t="shared" si="1646"/>
        <v>n/a</v>
      </c>
      <c r="Q371" s="180" t="str">
        <f t="shared" si="1647"/>
        <v>n/a</v>
      </c>
      <c r="R371" s="180" t="str">
        <f t="shared" si="1648"/>
        <v>n/a</v>
      </c>
      <c r="S371" s="180" t="str">
        <f t="shared" si="1649"/>
        <v>n/a</v>
      </c>
      <c r="T371" s="180" t="str">
        <f t="shared" si="1650"/>
        <v>n/a</v>
      </c>
      <c r="U371" s="180" t="str">
        <f t="shared" si="1651"/>
        <v>n/a</v>
      </c>
      <c r="V371" s="180" t="str">
        <f t="shared" si="1652"/>
        <v>n/a</v>
      </c>
      <c r="W371" s="180" t="str">
        <f t="shared" si="1653"/>
        <v>n/a</v>
      </c>
      <c r="X371" s="180" t="str">
        <f t="shared" si="1654"/>
        <v>n/a</v>
      </c>
      <c r="Y371" s="180" t="str">
        <f t="shared" si="1655"/>
        <v>n/a</v>
      </c>
      <c r="Z371" s="180" t="str">
        <f t="shared" si="1656"/>
        <v>n/a</v>
      </c>
      <c r="AA371" s="180" t="str">
        <f t="shared" si="1657"/>
        <v>n/a</v>
      </c>
      <c r="AB371" s="180" t="str">
        <f t="shared" si="1658"/>
        <v>n/a</v>
      </c>
      <c r="AC371" s="180" t="str">
        <f t="shared" si="1659"/>
        <v>n/a</v>
      </c>
      <c r="AD371" s="180" t="str">
        <f t="shared" si="1660"/>
        <v>n/a</v>
      </c>
      <c r="AE371" s="180">
        <f t="shared" si="1661"/>
        <v>1.1365081214966528</v>
      </c>
      <c r="AF371" s="180">
        <f t="shared" si="1661"/>
        <v>1.0060989517097307</v>
      </c>
      <c r="AG371" s="180">
        <f t="shared" si="1661"/>
        <v>1.0328071034616753</v>
      </c>
      <c r="AH371" s="180">
        <f t="shared" si="1661"/>
        <v>-4.4021357870390743E-3</v>
      </c>
      <c r="AI371" s="180">
        <f t="shared" si="1662"/>
        <v>-2.2204460492503131E-16</v>
      </c>
      <c r="AJ371" s="180">
        <f t="shared" si="1663"/>
        <v>-9.9999999999999645E-2</v>
      </c>
      <c r="AK371" s="180">
        <f t="shared" si="1664"/>
        <v>2.2204460492503131E-16</v>
      </c>
      <c r="AL371" s="180">
        <f t="shared" si="1665"/>
        <v>-2.2204460492503131E-16</v>
      </c>
      <c r="AM371" s="180">
        <f t="shared" si="1666"/>
        <v>2.2204460492503131E-16</v>
      </c>
      <c r="AP371" s="180" t="str">
        <f t="shared" ref="AP371:AV371" si="1670">+IFERROR(AP366/AO366-1,"n/a")</f>
        <v>n/a</v>
      </c>
      <c r="AQ371" s="180" t="str">
        <f t="shared" si="1670"/>
        <v>n/a</v>
      </c>
      <c r="AR371" s="180" t="str">
        <f t="shared" si="1670"/>
        <v>n/a</v>
      </c>
      <c r="AS371" s="180" t="str">
        <f t="shared" si="1670"/>
        <v>n/a</v>
      </c>
      <c r="AT371" s="180" t="str">
        <f t="shared" si="1670"/>
        <v>n/a</v>
      </c>
      <c r="AU371" s="180" t="str">
        <f t="shared" si="1670"/>
        <v>n/a</v>
      </c>
      <c r="AV371" s="180">
        <f t="shared" si="1670"/>
        <v>0.94815971138632182</v>
      </c>
      <c r="AW371" s="180">
        <f t="shared" ref="AW371:AX371" si="1671">+IFERROR(AW366/AV366-1,"n/a")</f>
        <v>0.1358147611222067</v>
      </c>
      <c r="AX371" s="180">
        <f t="shared" si="1671"/>
        <v>-2.1930652225086944E-2</v>
      </c>
    </row>
    <row r="372" spans="2:50" s="1" customFormat="1" x14ac:dyDescent="0.2">
      <c r="B372" s="30" t="s">
        <v>390</v>
      </c>
      <c r="H372" s="48"/>
      <c r="I372" s="48"/>
      <c r="J372" s="48"/>
      <c r="K372" s="48"/>
      <c r="L372" s="173" t="str">
        <f t="shared" si="1669"/>
        <v>n/a</v>
      </c>
      <c r="M372" s="173" t="str">
        <f t="shared" si="1643"/>
        <v>n/a</v>
      </c>
      <c r="N372" s="173" t="str">
        <f t="shared" si="1644"/>
        <v>n/a</v>
      </c>
      <c r="O372" s="173" t="str">
        <f t="shared" si="1645"/>
        <v>n/a</v>
      </c>
      <c r="P372" s="173" t="str">
        <f t="shared" si="1646"/>
        <v>n/a</v>
      </c>
      <c r="Q372" s="173" t="str">
        <f t="shared" si="1647"/>
        <v>n/a</v>
      </c>
      <c r="R372" s="173" t="str">
        <f t="shared" si="1648"/>
        <v>n/a</v>
      </c>
      <c r="S372" s="173" t="str">
        <f t="shared" si="1649"/>
        <v>n/a</v>
      </c>
      <c r="T372" s="173" t="str">
        <f t="shared" si="1650"/>
        <v>n/a</v>
      </c>
      <c r="U372" s="173" t="str">
        <f t="shared" si="1651"/>
        <v>n/a</v>
      </c>
      <c r="V372" s="173" t="str">
        <f t="shared" si="1652"/>
        <v>n/a</v>
      </c>
      <c r="W372" s="173" t="str">
        <f t="shared" si="1653"/>
        <v>n/a</v>
      </c>
      <c r="X372" s="173" t="str">
        <f t="shared" si="1654"/>
        <v>n/a</v>
      </c>
      <c r="Y372" s="173" t="str">
        <f t="shared" si="1655"/>
        <v>n/a</v>
      </c>
      <c r="Z372" s="173" t="str">
        <f t="shared" si="1656"/>
        <v>n/a</v>
      </c>
      <c r="AA372" s="173" t="str">
        <f t="shared" si="1657"/>
        <v>n/a</v>
      </c>
      <c r="AB372" s="173" t="str">
        <f t="shared" si="1658"/>
        <v>n/a</v>
      </c>
      <c r="AC372" s="173" t="str">
        <f t="shared" si="1659"/>
        <v>n/a</v>
      </c>
      <c r="AD372" s="173" t="str">
        <f t="shared" si="1660"/>
        <v>n/a</v>
      </c>
      <c r="AE372" s="173">
        <f t="shared" si="1661"/>
        <v>1.1365081214966528</v>
      </c>
      <c r="AF372" s="173">
        <f t="shared" si="1661"/>
        <v>1.0060989517097307</v>
      </c>
      <c r="AG372" s="173">
        <f t="shared" si="1661"/>
        <v>1.0328071034616753</v>
      </c>
      <c r="AH372" s="173">
        <f t="shared" si="1661"/>
        <v>-4.4021357870390743E-3</v>
      </c>
      <c r="AI372" s="173">
        <f t="shared" si="1662"/>
        <v>-2.2204460492503131E-16</v>
      </c>
      <c r="AJ372" s="173">
        <f t="shared" si="1663"/>
        <v>-9.9999999999999645E-2</v>
      </c>
      <c r="AK372" s="173">
        <f t="shared" si="1664"/>
        <v>2.2204460492503131E-16</v>
      </c>
      <c r="AL372" s="173">
        <f t="shared" si="1665"/>
        <v>-2.2204460492503131E-16</v>
      </c>
      <c r="AM372" s="173">
        <f t="shared" si="1666"/>
        <v>2.2204460492503131E-16</v>
      </c>
      <c r="AP372" s="173" t="str">
        <f t="shared" ref="AP372:AV372" si="1672">+IFERROR(AP367/AO367-1,"n/a")</f>
        <v>n/a</v>
      </c>
      <c r="AQ372" s="173" t="str">
        <f t="shared" si="1672"/>
        <v>n/a</v>
      </c>
      <c r="AR372" s="173" t="str">
        <f t="shared" si="1672"/>
        <v>n/a</v>
      </c>
      <c r="AS372" s="173" t="str">
        <f t="shared" si="1672"/>
        <v>n/a</v>
      </c>
      <c r="AT372" s="173" t="str">
        <f t="shared" si="1672"/>
        <v>n/a</v>
      </c>
      <c r="AU372" s="173" t="str">
        <f t="shared" si="1672"/>
        <v>n/a</v>
      </c>
      <c r="AV372" s="173">
        <f t="shared" si="1672"/>
        <v>0.94815971138632182</v>
      </c>
      <c r="AW372" s="173">
        <f t="shared" ref="AW372:AX372" si="1673">+IFERROR(AW367/AV367-1,"n/a")</f>
        <v>0.1358147611222067</v>
      </c>
      <c r="AX372" s="173">
        <f t="shared" si="1673"/>
        <v>-2.1930652225086944E-2</v>
      </c>
    </row>
    <row r="373" spans="2:50" s="1" customFormat="1" x14ac:dyDescent="0.2">
      <c r="B373" s="30"/>
      <c r="H373" s="48"/>
      <c r="I373" s="48"/>
      <c r="J373" s="48"/>
      <c r="K373" s="48"/>
      <c r="L373" s="173"/>
      <c r="M373" s="173"/>
      <c r="N373" s="173"/>
      <c r="O373" s="173"/>
      <c r="P373" s="173"/>
      <c r="Q373" s="173"/>
      <c r="R373" s="173"/>
      <c r="S373" s="173"/>
      <c r="T373" s="173"/>
      <c r="U373" s="173"/>
      <c r="V373" s="173"/>
      <c r="W373" s="173"/>
      <c r="X373" s="173"/>
      <c r="Y373" s="173"/>
      <c r="Z373" s="173"/>
      <c r="AA373" s="173"/>
      <c r="AB373" s="173"/>
      <c r="AC373" s="173"/>
      <c r="AD373" s="173"/>
      <c r="AE373" s="173"/>
      <c r="AF373" s="173"/>
      <c r="AG373" s="173"/>
      <c r="AH373" s="173"/>
      <c r="AI373" s="173"/>
      <c r="AJ373" s="173"/>
      <c r="AK373" s="173"/>
      <c r="AL373" s="173"/>
      <c r="AM373" s="173"/>
      <c r="AP373" s="173"/>
      <c r="AQ373" s="173"/>
      <c r="AR373" s="173"/>
      <c r="AS373" s="173"/>
      <c r="AT373" s="173"/>
      <c r="AU373" s="173"/>
      <c r="AV373" s="173"/>
      <c r="AW373" s="173"/>
      <c r="AX373" s="173"/>
    </row>
    <row r="374" spans="2:50" s="1" customFormat="1" x14ac:dyDescent="0.2">
      <c r="B374" s="19" t="s">
        <v>261</v>
      </c>
      <c r="H374" s="48"/>
      <c r="I374" s="48"/>
      <c r="J374" s="48"/>
      <c r="K374" s="48"/>
      <c r="L374" s="173"/>
      <c r="M374" s="173"/>
      <c r="N374" s="173"/>
      <c r="O374" s="173"/>
      <c r="P374" s="173"/>
      <c r="Q374" s="173"/>
      <c r="R374" s="173"/>
      <c r="S374" s="173"/>
      <c r="T374" s="173"/>
      <c r="U374" s="173"/>
      <c r="V374" s="173"/>
      <c r="W374" s="173"/>
      <c r="X374" s="173"/>
      <c r="Y374" s="173"/>
      <c r="Z374" s="173"/>
      <c r="AA374" s="173"/>
      <c r="AB374" s="173"/>
      <c r="AC374" s="173"/>
      <c r="AD374" s="173"/>
      <c r="AE374" s="173"/>
      <c r="AF374" s="173"/>
      <c r="AG374" s="173"/>
      <c r="AH374" s="173"/>
      <c r="AI374" s="173"/>
      <c r="AJ374" s="173"/>
      <c r="AK374" s="173"/>
      <c r="AL374" s="173"/>
      <c r="AM374" s="173"/>
      <c r="AP374" s="173"/>
      <c r="AQ374" s="173"/>
      <c r="AR374" s="173"/>
      <c r="AS374" s="173"/>
      <c r="AT374" s="173"/>
      <c r="AU374" s="173"/>
      <c r="AV374" s="173"/>
      <c r="AW374" s="173"/>
      <c r="AX374" s="173"/>
    </row>
    <row r="375" spans="2:50" s="1" customFormat="1" x14ac:dyDescent="0.2">
      <c r="B375" s="20" t="s">
        <v>225</v>
      </c>
      <c r="H375" s="48"/>
      <c r="I375" s="173" t="str">
        <f>+IFERROR(I365/H365-1,"n/a")</f>
        <v>n/a</v>
      </c>
      <c r="J375" s="173" t="str">
        <f t="shared" ref="J375:AH375" si="1674">+IFERROR(J365/I365-1,"n/a")</f>
        <v>n/a</v>
      </c>
      <c r="K375" s="173" t="str">
        <f t="shared" si="1674"/>
        <v>n/a</v>
      </c>
      <c r="L375" s="173" t="str">
        <f t="shared" si="1674"/>
        <v>n/a</v>
      </c>
      <c r="M375" s="173" t="str">
        <f t="shared" si="1674"/>
        <v>n/a</v>
      </c>
      <c r="N375" s="173" t="str">
        <f t="shared" si="1674"/>
        <v>n/a</v>
      </c>
      <c r="O375" s="173" t="str">
        <f t="shared" si="1674"/>
        <v>n/a</v>
      </c>
      <c r="P375" s="173" t="str">
        <f t="shared" si="1674"/>
        <v>n/a</v>
      </c>
      <c r="Q375" s="173" t="str">
        <f t="shared" si="1674"/>
        <v>n/a</v>
      </c>
      <c r="R375" s="173" t="str">
        <f t="shared" si="1674"/>
        <v>n/a</v>
      </c>
      <c r="S375" s="173" t="str">
        <f t="shared" si="1674"/>
        <v>n/a</v>
      </c>
      <c r="T375" s="173" t="str">
        <f t="shared" si="1674"/>
        <v>n/a</v>
      </c>
      <c r="U375" s="173" t="str">
        <f t="shared" si="1674"/>
        <v>n/a</v>
      </c>
      <c r="V375" s="173" t="str">
        <f t="shared" si="1674"/>
        <v>n/a</v>
      </c>
      <c r="W375" s="173" t="str">
        <f t="shared" si="1674"/>
        <v>n/a</v>
      </c>
      <c r="X375" s="173" t="str">
        <f t="shared" si="1674"/>
        <v>n/a</v>
      </c>
      <c r="Y375" s="173" t="str">
        <f t="shared" si="1674"/>
        <v>n/a</v>
      </c>
      <c r="Z375" s="173" t="str">
        <f t="shared" si="1674"/>
        <v>n/a</v>
      </c>
      <c r="AA375" s="173" t="str">
        <f t="shared" si="1674"/>
        <v>n/a</v>
      </c>
      <c r="AB375" s="173" t="str">
        <f t="shared" si="1674"/>
        <v>n/a</v>
      </c>
      <c r="AC375" s="173" t="str">
        <f t="shared" si="1674"/>
        <v>n/a</v>
      </c>
      <c r="AD375" s="173" t="str">
        <f t="shared" si="1674"/>
        <v>n/a</v>
      </c>
      <c r="AE375" s="173" t="str">
        <f t="shared" si="1674"/>
        <v>n/a</v>
      </c>
      <c r="AF375" s="173" t="str">
        <f t="shared" si="1674"/>
        <v>n/a</v>
      </c>
      <c r="AG375" s="173" t="str">
        <f t="shared" si="1674"/>
        <v>n/a</v>
      </c>
      <c r="AH375" s="173" t="str">
        <f t="shared" si="1674"/>
        <v>n/a</v>
      </c>
      <c r="AI375" s="173" t="str">
        <f t="shared" ref="AI375" si="1675">+IFERROR(AI365/AH365-1,"n/a")</f>
        <v>n/a</v>
      </c>
      <c r="AJ375" s="173" t="str">
        <f t="shared" ref="AJ375:AJ377" si="1676">+IFERROR(AJ365/AI365-1,"n/a")</f>
        <v>n/a</v>
      </c>
      <c r="AK375" s="173" t="str">
        <f t="shared" ref="AK375:AK377" si="1677">+IFERROR(AK365/AJ365-1,"n/a")</f>
        <v>n/a</v>
      </c>
      <c r="AL375" s="173" t="str">
        <f t="shared" ref="AL375:AL377" si="1678">+IFERROR(AL365/AK365-1,"n/a")</f>
        <v>n/a</v>
      </c>
      <c r="AM375" s="173" t="str">
        <f t="shared" ref="AM375:AM377" si="1679">+IFERROR(AM365/AL365-1,"n/a")</f>
        <v>n/a</v>
      </c>
      <c r="AP375" s="173"/>
      <c r="AQ375" s="173"/>
      <c r="AR375" s="173"/>
      <c r="AS375" s="173"/>
      <c r="AT375" s="173"/>
      <c r="AU375" s="173"/>
      <c r="AV375" s="173"/>
      <c r="AW375" s="173"/>
      <c r="AX375" s="173"/>
    </row>
    <row r="376" spans="2:50" s="1" customFormat="1" ht="13.5" x14ac:dyDescent="0.35">
      <c r="B376" s="20" t="s">
        <v>226</v>
      </c>
      <c r="H376" s="48"/>
      <c r="I376" s="180" t="str">
        <f t="shared" ref="I376:AH376" si="1680">+IFERROR(I366/H366-1,"n/a")</f>
        <v>n/a</v>
      </c>
      <c r="J376" s="180" t="str">
        <f t="shared" si="1680"/>
        <v>n/a</v>
      </c>
      <c r="K376" s="180" t="str">
        <f t="shared" si="1680"/>
        <v>n/a</v>
      </c>
      <c r="L376" s="180" t="str">
        <f t="shared" si="1680"/>
        <v>n/a</v>
      </c>
      <c r="M376" s="180" t="str">
        <f t="shared" si="1680"/>
        <v>n/a</v>
      </c>
      <c r="N376" s="180" t="str">
        <f t="shared" si="1680"/>
        <v>n/a</v>
      </c>
      <c r="O376" s="180" t="str">
        <f t="shared" si="1680"/>
        <v>n/a</v>
      </c>
      <c r="P376" s="180" t="str">
        <f t="shared" si="1680"/>
        <v>n/a</v>
      </c>
      <c r="Q376" s="180" t="str">
        <f t="shared" si="1680"/>
        <v>n/a</v>
      </c>
      <c r="R376" s="180" t="str">
        <f t="shared" si="1680"/>
        <v>n/a</v>
      </c>
      <c r="S376" s="180" t="str">
        <f t="shared" si="1680"/>
        <v>n/a</v>
      </c>
      <c r="T376" s="180" t="str">
        <f t="shared" si="1680"/>
        <v>n/a</v>
      </c>
      <c r="U376" s="180" t="str">
        <f t="shared" si="1680"/>
        <v>n/a</v>
      </c>
      <c r="V376" s="180" t="str">
        <f t="shared" si="1680"/>
        <v>n/a</v>
      </c>
      <c r="W376" s="180" t="str">
        <f t="shared" si="1680"/>
        <v>n/a</v>
      </c>
      <c r="X376" s="180" t="str">
        <f t="shared" si="1680"/>
        <v>n/a</v>
      </c>
      <c r="Y376" s="180" t="str">
        <f t="shared" si="1680"/>
        <v>n/a</v>
      </c>
      <c r="Z376" s="180" t="str">
        <f t="shared" si="1680"/>
        <v>n/a</v>
      </c>
      <c r="AA376" s="180" t="str">
        <f t="shared" si="1680"/>
        <v>n/a</v>
      </c>
      <c r="AB376" s="180">
        <f t="shared" si="1680"/>
        <v>0.18334038844438094</v>
      </c>
      <c r="AC376" s="180">
        <f t="shared" si="1680"/>
        <v>-0.11182470119069154</v>
      </c>
      <c r="AD376" s="180">
        <f t="shared" si="1680"/>
        <v>1.0417953639029229</v>
      </c>
      <c r="AE376" s="180">
        <f t="shared" si="1680"/>
        <v>-4.4021357870390743E-3</v>
      </c>
      <c r="AF376" s="180">
        <f t="shared" si="1680"/>
        <v>0.11111111111111072</v>
      </c>
      <c r="AG376" s="180">
        <f t="shared" si="1680"/>
        <v>-9.9999999999999867E-2</v>
      </c>
      <c r="AH376" s="180">
        <f t="shared" si="1680"/>
        <v>2.2204460492503131E-16</v>
      </c>
      <c r="AI376" s="180">
        <f t="shared" ref="AI376" si="1681">+IFERROR(AI366/AH366-1,"n/a")</f>
        <v>-2.2204460492503131E-16</v>
      </c>
      <c r="AJ376" s="180">
        <f t="shared" si="1676"/>
        <v>2.2204460492503131E-16</v>
      </c>
      <c r="AK376" s="180">
        <f t="shared" si="1677"/>
        <v>0</v>
      </c>
      <c r="AL376" s="180">
        <f t="shared" si="1678"/>
        <v>-2.2204460492503131E-16</v>
      </c>
      <c r="AM376" s="180">
        <f t="shared" si="1679"/>
        <v>2.2204460492503131E-16</v>
      </c>
      <c r="AP376" s="173"/>
      <c r="AQ376" s="173"/>
      <c r="AR376" s="173"/>
      <c r="AS376" s="173"/>
      <c r="AT376" s="173"/>
      <c r="AU376" s="173"/>
      <c r="AV376" s="173"/>
      <c r="AW376" s="173"/>
      <c r="AX376" s="173"/>
    </row>
    <row r="377" spans="2:50" s="1" customFormat="1" x14ac:dyDescent="0.2">
      <c r="B377" s="30" t="s">
        <v>390</v>
      </c>
      <c r="H377" s="48"/>
      <c r="I377" s="173" t="str">
        <f t="shared" ref="I377:AH377" si="1682">+IFERROR(I367/H367-1,"n/a")</f>
        <v>n/a</v>
      </c>
      <c r="J377" s="173" t="str">
        <f t="shared" si="1682"/>
        <v>n/a</v>
      </c>
      <c r="K377" s="173" t="str">
        <f t="shared" si="1682"/>
        <v>n/a</v>
      </c>
      <c r="L377" s="173" t="str">
        <f t="shared" si="1682"/>
        <v>n/a</v>
      </c>
      <c r="M377" s="173" t="str">
        <f t="shared" si="1682"/>
        <v>n/a</v>
      </c>
      <c r="N377" s="173" t="str">
        <f t="shared" si="1682"/>
        <v>n/a</v>
      </c>
      <c r="O377" s="173" t="str">
        <f t="shared" si="1682"/>
        <v>n/a</v>
      </c>
      <c r="P377" s="173" t="str">
        <f t="shared" si="1682"/>
        <v>n/a</v>
      </c>
      <c r="Q377" s="173" t="str">
        <f t="shared" si="1682"/>
        <v>n/a</v>
      </c>
      <c r="R377" s="173" t="str">
        <f t="shared" si="1682"/>
        <v>n/a</v>
      </c>
      <c r="S377" s="173" t="str">
        <f t="shared" si="1682"/>
        <v>n/a</v>
      </c>
      <c r="T377" s="173" t="str">
        <f t="shared" si="1682"/>
        <v>n/a</v>
      </c>
      <c r="U377" s="173" t="str">
        <f t="shared" si="1682"/>
        <v>n/a</v>
      </c>
      <c r="V377" s="173" t="str">
        <f t="shared" si="1682"/>
        <v>n/a</v>
      </c>
      <c r="W377" s="173" t="str">
        <f t="shared" si="1682"/>
        <v>n/a</v>
      </c>
      <c r="X377" s="173" t="str">
        <f t="shared" si="1682"/>
        <v>n/a</v>
      </c>
      <c r="Y377" s="173" t="str">
        <f t="shared" si="1682"/>
        <v>n/a</v>
      </c>
      <c r="Z377" s="173" t="str">
        <f t="shared" si="1682"/>
        <v>n/a</v>
      </c>
      <c r="AA377" s="173" t="str">
        <f t="shared" si="1682"/>
        <v>n/a</v>
      </c>
      <c r="AB377" s="173">
        <f t="shared" si="1682"/>
        <v>0.18334038844438094</v>
      </c>
      <c r="AC377" s="173">
        <f t="shared" si="1682"/>
        <v>-0.11182470119069154</v>
      </c>
      <c r="AD377" s="173">
        <f t="shared" si="1682"/>
        <v>1.0417953639029229</v>
      </c>
      <c r="AE377" s="173">
        <f t="shared" si="1682"/>
        <v>-4.4021357870390743E-3</v>
      </c>
      <c r="AF377" s="173">
        <f t="shared" si="1682"/>
        <v>0.11111111111111072</v>
      </c>
      <c r="AG377" s="173">
        <f t="shared" si="1682"/>
        <v>-9.9999999999999867E-2</v>
      </c>
      <c r="AH377" s="173">
        <f t="shared" si="1682"/>
        <v>2.2204460492503131E-16</v>
      </c>
      <c r="AI377" s="173">
        <f t="shared" ref="AI377" si="1683">+IFERROR(AI367/AH367-1,"n/a")</f>
        <v>-2.2204460492503131E-16</v>
      </c>
      <c r="AJ377" s="173">
        <f t="shared" si="1676"/>
        <v>2.2204460492503131E-16</v>
      </c>
      <c r="AK377" s="173">
        <f t="shared" si="1677"/>
        <v>0</v>
      </c>
      <c r="AL377" s="173">
        <f t="shared" si="1678"/>
        <v>-2.2204460492503131E-16</v>
      </c>
      <c r="AM377" s="173">
        <f t="shared" si="1679"/>
        <v>2.2204460492503131E-16</v>
      </c>
      <c r="AP377" s="173"/>
      <c r="AQ377" s="173"/>
      <c r="AR377" s="173"/>
      <c r="AS377" s="173"/>
      <c r="AT377" s="173"/>
      <c r="AU377" s="173"/>
      <c r="AV377" s="173"/>
      <c r="AW377" s="173"/>
      <c r="AX377" s="173"/>
    </row>
    <row r="379" spans="2:50" x14ac:dyDescent="0.2">
      <c r="B379" s="6" t="s">
        <v>408</v>
      </c>
      <c r="C379" s="5"/>
    </row>
    <row r="381" spans="2:50" x14ac:dyDescent="0.2">
      <c r="B381" s="24" t="s">
        <v>439</v>
      </c>
      <c r="AE381" s="206"/>
    </row>
    <row r="382" spans="2:50" x14ac:dyDescent="0.2">
      <c r="B382" s="184" t="s">
        <v>225</v>
      </c>
      <c r="H382" s="10">
        <f>+H149</f>
        <v>1108.0999999999999</v>
      </c>
      <c r="I382" s="10">
        <f t="shared" ref="I382:AI382" si="1684">+I149</f>
        <v>2370.9520000000002</v>
      </c>
      <c r="J382" s="10">
        <f t="shared" si="1684"/>
        <v>2974.145</v>
      </c>
      <c r="K382" s="10">
        <f t="shared" si="1684"/>
        <v>5062.3779999999997</v>
      </c>
      <c r="L382" s="10">
        <f t="shared" si="1684"/>
        <v>3948.4140000000002</v>
      </c>
      <c r="M382" s="10">
        <f t="shared" si="1684"/>
        <v>6467.0730000000003</v>
      </c>
      <c r="N382" s="10">
        <f t="shared" si="1684"/>
        <v>6711.4549999999999</v>
      </c>
      <c r="O382" s="10">
        <f t="shared" si="1684"/>
        <v>9686.6990000000005</v>
      </c>
      <c r="P382" s="10">
        <f t="shared" si="1684"/>
        <v>5492.27</v>
      </c>
      <c r="Q382" s="10">
        <f t="shared" si="1684"/>
        <v>11054.698</v>
      </c>
      <c r="R382" s="10">
        <f t="shared" si="1684"/>
        <v>12484.835999999999</v>
      </c>
      <c r="S382" s="10">
        <f t="shared" si="1684"/>
        <v>18921.974999999999</v>
      </c>
      <c r="T382" s="10">
        <f t="shared" si="1684"/>
        <v>14111.486000000001</v>
      </c>
      <c r="U382" s="10">
        <f t="shared" si="1684"/>
        <v>18080.419000000002</v>
      </c>
      <c r="V382" s="10">
        <f t="shared" si="1684"/>
        <v>17946.495999999999</v>
      </c>
      <c r="W382" s="10">
        <f t="shared" si="1684"/>
        <v>22425.001000000004</v>
      </c>
      <c r="X382" s="10">
        <f t="shared" si="1684"/>
        <v>18158.424999999999</v>
      </c>
      <c r="Y382" s="10">
        <f t="shared" si="1684"/>
        <v>25172.651000000002</v>
      </c>
      <c r="Z382" s="10">
        <f t="shared" si="1684"/>
        <v>28425.645</v>
      </c>
      <c r="AA382" s="10">
        <f t="shared" si="1684"/>
        <v>30965.202999999994</v>
      </c>
      <c r="AB382" s="10">
        <f t="shared" si="1684"/>
        <v>27244.425999999999</v>
      </c>
      <c r="AC382" s="10">
        <f t="shared" si="1684"/>
        <v>37932.830999999998</v>
      </c>
      <c r="AD382" s="10">
        <f t="shared" si="1684"/>
        <v>39687.678</v>
      </c>
      <c r="AE382" s="10">
        <f t="shared" si="1684"/>
        <v>48675.618000000002</v>
      </c>
      <c r="AF382" s="10">
        <f t="shared" ref="AF382:AG382" si="1685">+AF149</f>
        <v>42456.243000000002</v>
      </c>
      <c r="AG382" s="10">
        <f t="shared" si="1685"/>
        <v>49115.866000000002</v>
      </c>
      <c r="AH382" s="10">
        <f t="shared" ref="AH382" si="1686">+AH149</f>
        <v>49351.021999999997</v>
      </c>
      <c r="AI382" s="10">
        <f t="shared" si="1684"/>
        <v>56453.027685972425</v>
      </c>
      <c r="AJ382" s="10">
        <f t="shared" ref="AJ382:AM382" si="1687">+AJ149</f>
        <v>46844.262849690873</v>
      </c>
      <c r="AK382" s="10">
        <f t="shared" si="1687"/>
        <v>53606.288802990195</v>
      </c>
      <c r="AL382" s="10">
        <f t="shared" si="1687"/>
        <v>57216.217753694997</v>
      </c>
      <c r="AM382" s="10">
        <f t="shared" si="1687"/>
        <v>65450.087840855049</v>
      </c>
      <c r="AO382" s="10">
        <f>+AO149</f>
        <v>0</v>
      </c>
      <c r="AP382" s="10">
        <f t="shared" ref="AP382:AV382" si="1688">+AP149</f>
        <v>1209.2750000000001</v>
      </c>
      <c r="AQ382" s="10">
        <f t="shared" si="1688"/>
        <v>11515.575000000001</v>
      </c>
      <c r="AR382" s="10">
        <f t="shared" si="1688"/>
        <v>26813.641000000003</v>
      </c>
      <c r="AS382" s="10">
        <f t="shared" si="1688"/>
        <v>47953.778999999995</v>
      </c>
      <c r="AT382" s="10">
        <f t="shared" si="1688"/>
        <v>72563.402000000002</v>
      </c>
      <c r="AU382" s="10">
        <f t="shared" si="1688"/>
        <v>102721.924</v>
      </c>
      <c r="AV382" s="10">
        <f t="shared" si="1688"/>
        <v>153540.55300000001</v>
      </c>
      <c r="AW382" s="10">
        <f t="shared" ref="AW382" si="1689">+AW149</f>
        <v>197376.15868597242</v>
      </c>
      <c r="AX382" s="10">
        <f>+SUM(AJ382:AM382)</f>
        <v>223116.85724723112</v>
      </c>
    </row>
    <row r="383" spans="2:50" ht="13.5" x14ac:dyDescent="0.35">
      <c r="B383" s="184" t="s">
        <v>226</v>
      </c>
      <c r="H383" s="25">
        <f>+H150</f>
        <v>276.50400000000002</v>
      </c>
      <c r="I383" s="25">
        <f t="shared" ref="I383:AI383" si="1690">+I150</f>
        <v>338.09399999999999</v>
      </c>
      <c r="J383" s="25">
        <f t="shared" si="1690"/>
        <v>398.27300000000002</v>
      </c>
      <c r="K383" s="25">
        <f t="shared" si="1690"/>
        <v>591.54399999999998</v>
      </c>
      <c r="L383" s="25">
        <f t="shared" si="1690"/>
        <v>596.79</v>
      </c>
      <c r="M383" s="25">
        <f t="shared" si="1690"/>
        <v>822.93499999999995</v>
      </c>
      <c r="N383" s="25">
        <f t="shared" si="1690"/>
        <v>802.49300000000005</v>
      </c>
      <c r="O383" s="25">
        <f t="shared" si="1690"/>
        <v>1106.027</v>
      </c>
      <c r="P383" s="25">
        <f t="shared" si="1690"/>
        <v>1048.789</v>
      </c>
      <c r="Q383" s="25">
        <f t="shared" si="1690"/>
        <v>1138.617</v>
      </c>
      <c r="R383" s="25">
        <f t="shared" si="1690"/>
        <v>1332.124</v>
      </c>
      <c r="S383" s="25">
        <f t="shared" si="1690"/>
        <v>1692.9438235294119</v>
      </c>
      <c r="T383" s="25">
        <f t="shared" si="1690"/>
        <v>1352.9084007218755</v>
      </c>
      <c r="U383" s="25">
        <f t="shared" si="1690"/>
        <v>881.15089208644349</v>
      </c>
      <c r="V383" s="25">
        <f t="shared" si="1690"/>
        <v>449.47754937561649</v>
      </c>
      <c r="W383" s="25">
        <f t="shared" si="1690"/>
        <v>1205.007735664225</v>
      </c>
      <c r="X383" s="25">
        <f t="shared" si="1690"/>
        <v>1980.1140634747599</v>
      </c>
      <c r="Y383" s="25">
        <f t="shared" si="1690"/>
        <v>2239.6797706480288</v>
      </c>
      <c r="Z383" s="25">
        <f t="shared" si="1690"/>
        <v>2585.1710664412967</v>
      </c>
      <c r="AA383" s="25">
        <f t="shared" si="1690"/>
        <v>3461.3679314980855</v>
      </c>
      <c r="AB383" s="25">
        <f t="shared" si="1690"/>
        <v>3525.4706298110873</v>
      </c>
      <c r="AC383" s="25">
        <f t="shared" si="1690"/>
        <v>4125.0183173725454</v>
      </c>
      <c r="AD383" s="25">
        <f t="shared" si="1690"/>
        <v>3867.4952810965406</v>
      </c>
      <c r="AE383" s="25">
        <f t="shared" si="1690"/>
        <v>7222.9417342545385</v>
      </c>
      <c r="AF383" s="25">
        <f t="shared" ref="AF383:AG383" si="1691">+AF150</f>
        <v>5502.3744809435666</v>
      </c>
      <c r="AG383" s="25">
        <f t="shared" si="1691"/>
        <v>5573.2184272410523</v>
      </c>
      <c r="AH383" s="25">
        <f t="shared" ref="AH383" si="1692">+AH150</f>
        <v>4471.2374347538498</v>
      </c>
      <c r="AI383" s="25">
        <f t="shared" si="1690"/>
        <v>4091.7473311043555</v>
      </c>
      <c r="AJ383" s="25">
        <f t="shared" ref="AJ383:AM383" si="1693">+AJ150</f>
        <v>3482.3575679815222</v>
      </c>
      <c r="AK383" s="25">
        <f t="shared" si="1693"/>
        <v>3854.003956792179</v>
      </c>
      <c r="AL383" s="25">
        <f t="shared" si="1693"/>
        <v>4113.5384399735422</v>
      </c>
      <c r="AM383" s="25">
        <f t="shared" si="1693"/>
        <v>4705.5094307700083</v>
      </c>
      <c r="AO383" s="25">
        <f>+AO150</f>
        <v>48.276000000000003</v>
      </c>
      <c r="AP383" s="25">
        <f t="shared" ref="AP383:AV383" si="1694">+AP150</f>
        <v>531.41600000000005</v>
      </c>
      <c r="AQ383" s="25">
        <f t="shared" si="1694"/>
        <v>1604.415</v>
      </c>
      <c r="AR383" s="25">
        <f t="shared" si="1694"/>
        <v>3328.2449999999999</v>
      </c>
      <c r="AS383" s="25">
        <f t="shared" si="1694"/>
        <v>5212.4738235294117</v>
      </c>
      <c r="AT383" s="25">
        <f t="shared" si="1694"/>
        <v>3888.5445778481603</v>
      </c>
      <c r="AU383" s="25">
        <f t="shared" si="1694"/>
        <v>10266.332832062171</v>
      </c>
      <c r="AV383" s="25">
        <f t="shared" si="1694"/>
        <v>18740.925962534711</v>
      </c>
      <c r="AW383" s="25">
        <f t="shared" ref="AW383" si="1695">+AW150</f>
        <v>19638.577674042823</v>
      </c>
      <c r="AX383" s="25">
        <f t="shared" ref="AX383:AX390" si="1696">+SUM(AJ383:AM383)</f>
        <v>16155.409395517254</v>
      </c>
    </row>
    <row r="384" spans="2:50" s="1" customFormat="1" x14ac:dyDescent="0.2">
      <c r="B384" s="38" t="s">
        <v>341</v>
      </c>
      <c r="H384" s="42">
        <f>+IFERROR(H382+H383,"n/a")</f>
        <v>1384.6039999999998</v>
      </c>
      <c r="I384" s="42">
        <f t="shared" ref="I384:AI384" si="1697">+IFERROR(I382+I383,"n/a")</f>
        <v>2709.0460000000003</v>
      </c>
      <c r="J384" s="42">
        <f t="shared" si="1697"/>
        <v>3372.4180000000001</v>
      </c>
      <c r="K384" s="42">
        <f t="shared" si="1697"/>
        <v>5653.9219999999996</v>
      </c>
      <c r="L384" s="42">
        <f t="shared" si="1697"/>
        <v>4545.2039999999997</v>
      </c>
      <c r="M384" s="42">
        <f t="shared" si="1697"/>
        <v>7290.0079999999998</v>
      </c>
      <c r="N384" s="42">
        <f t="shared" si="1697"/>
        <v>7513.9480000000003</v>
      </c>
      <c r="O384" s="42">
        <f t="shared" si="1697"/>
        <v>10792.726000000001</v>
      </c>
      <c r="P384" s="42">
        <f t="shared" si="1697"/>
        <v>6541.0590000000002</v>
      </c>
      <c r="Q384" s="42">
        <f t="shared" si="1697"/>
        <v>12193.315000000001</v>
      </c>
      <c r="R384" s="42">
        <f t="shared" si="1697"/>
        <v>13816.96</v>
      </c>
      <c r="S384" s="42">
        <f t="shared" si="1697"/>
        <v>20614.91882352941</v>
      </c>
      <c r="T384" s="42">
        <f t="shared" si="1697"/>
        <v>15464.394400721876</v>
      </c>
      <c r="U384" s="42">
        <f t="shared" si="1697"/>
        <v>18961.569892086445</v>
      </c>
      <c r="V384" s="42">
        <f t="shared" si="1697"/>
        <v>18395.973549375616</v>
      </c>
      <c r="W384" s="42">
        <f t="shared" si="1697"/>
        <v>23630.008735664229</v>
      </c>
      <c r="X384" s="42">
        <f t="shared" si="1697"/>
        <v>20138.53906347476</v>
      </c>
      <c r="Y384" s="42">
        <f t="shared" si="1697"/>
        <v>27412.33077064803</v>
      </c>
      <c r="Z384" s="42">
        <f t="shared" si="1697"/>
        <v>31010.816066441297</v>
      </c>
      <c r="AA384" s="42">
        <f t="shared" si="1697"/>
        <v>34426.570931498078</v>
      </c>
      <c r="AB384" s="42">
        <f t="shared" si="1697"/>
        <v>30769.896629811086</v>
      </c>
      <c r="AC384" s="42">
        <f t="shared" si="1697"/>
        <v>42057.849317372544</v>
      </c>
      <c r="AD384" s="42">
        <f t="shared" si="1697"/>
        <v>43555.17328109654</v>
      </c>
      <c r="AE384" s="42">
        <f t="shared" si="1697"/>
        <v>55898.559734254537</v>
      </c>
      <c r="AF384" s="42">
        <f t="shared" ref="AF384:AG384" si="1698">+IFERROR(AF382+AF383,"n/a")</f>
        <v>47958.617480943569</v>
      </c>
      <c r="AG384" s="42">
        <f t="shared" si="1698"/>
        <v>54689.084427241054</v>
      </c>
      <c r="AH384" s="42">
        <f t="shared" ref="AH384" si="1699">+IFERROR(AH382+AH383,"n/a")</f>
        <v>53822.259434753847</v>
      </c>
      <c r="AI384" s="42">
        <f t="shared" si="1697"/>
        <v>60544.775017076783</v>
      </c>
      <c r="AJ384" s="42">
        <f t="shared" ref="AJ384:AM384" si="1700">+IFERROR(AJ382+AJ383,"n/a")</f>
        <v>50326.620417672399</v>
      </c>
      <c r="AK384" s="42">
        <f t="shared" si="1700"/>
        <v>57460.292759782373</v>
      </c>
      <c r="AL384" s="42">
        <f t="shared" si="1700"/>
        <v>61329.756193668538</v>
      </c>
      <c r="AM384" s="42">
        <f t="shared" si="1700"/>
        <v>70155.597271625054</v>
      </c>
      <c r="AO384" s="42">
        <f>+IFERROR(AO382+AO383,"n/a")</f>
        <v>48.276000000000003</v>
      </c>
      <c r="AP384" s="42">
        <f t="shared" ref="AP384:AW384" si="1701">+IFERROR(AP382+AP383,"n/a")</f>
        <v>1740.6910000000003</v>
      </c>
      <c r="AQ384" s="42">
        <f t="shared" si="1701"/>
        <v>13119.990000000002</v>
      </c>
      <c r="AR384" s="42">
        <f t="shared" si="1701"/>
        <v>30141.886000000002</v>
      </c>
      <c r="AS384" s="42">
        <f t="shared" si="1701"/>
        <v>53166.252823529408</v>
      </c>
      <c r="AT384" s="42">
        <f t="shared" si="1701"/>
        <v>76451.946577848168</v>
      </c>
      <c r="AU384" s="42">
        <f t="shared" si="1701"/>
        <v>112988.25683206216</v>
      </c>
      <c r="AV384" s="42">
        <f t="shared" si="1701"/>
        <v>172281.47896253472</v>
      </c>
      <c r="AW384" s="42">
        <f t="shared" si="1701"/>
        <v>217014.73636001523</v>
      </c>
      <c r="AX384" s="42">
        <f t="shared" si="1696"/>
        <v>239272.26664274838</v>
      </c>
    </row>
    <row r="385" spans="2:51" ht="13.5" x14ac:dyDescent="0.35">
      <c r="B385" s="184" t="s">
        <v>342</v>
      </c>
      <c r="H385" s="25">
        <f>+H152</f>
        <v>0</v>
      </c>
      <c r="I385" s="25">
        <f t="shared" ref="I385:AI385" si="1702">+I152</f>
        <v>0</v>
      </c>
      <c r="J385" s="25">
        <f t="shared" si="1702"/>
        <v>0</v>
      </c>
      <c r="K385" s="25">
        <f t="shared" si="1702"/>
        <v>0</v>
      </c>
      <c r="L385" s="25">
        <f t="shared" si="1702"/>
        <v>0</v>
      </c>
      <c r="M385" s="25">
        <f t="shared" si="1702"/>
        <v>0</v>
      </c>
      <c r="N385" s="25">
        <f t="shared" si="1702"/>
        <v>0</v>
      </c>
      <c r="O385" s="25">
        <f t="shared" si="1702"/>
        <v>0</v>
      </c>
      <c r="P385" s="25">
        <f t="shared" si="1702"/>
        <v>0</v>
      </c>
      <c r="Q385" s="25">
        <f t="shared" si="1702"/>
        <v>0</v>
      </c>
      <c r="R385" s="25">
        <f t="shared" si="1702"/>
        <v>392.822</v>
      </c>
      <c r="S385" s="25">
        <f t="shared" si="1702"/>
        <v>5357.8490000000002</v>
      </c>
      <c r="T385" s="25">
        <f t="shared" si="1702"/>
        <v>5124.1379999999999</v>
      </c>
      <c r="U385" s="25">
        <f t="shared" si="1702"/>
        <v>1958.163</v>
      </c>
      <c r="V385" s="25">
        <f t="shared" si="1702"/>
        <v>82.114999999999995</v>
      </c>
      <c r="W385" s="25">
        <f t="shared" si="1702"/>
        <v>81.67200000000048</v>
      </c>
      <c r="X385" s="25">
        <f t="shared" si="1702"/>
        <v>43.856999999999999</v>
      </c>
      <c r="Y385" s="25">
        <f t="shared" si="1702"/>
        <v>50.71</v>
      </c>
      <c r="Z385" s="25">
        <f t="shared" si="1702"/>
        <v>56.406999999999996</v>
      </c>
      <c r="AA385" s="25">
        <f t="shared" si="1702"/>
        <v>58.197000000000003</v>
      </c>
      <c r="AB385" s="25">
        <f t="shared" si="1702"/>
        <v>0</v>
      </c>
      <c r="AC385" s="25">
        <f t="shared" si="1702"/>
        <v>0</v>
      </c>
      <c r="AD385" s="25">
        <f t="shared" si="1702"/>
        <v>0</v>
      </c>
      <c r="AE385" s="25">
        <f t="shared" si="1702"/>
        <v>0</v>
      </c>
      <c r="AF385" s="25">
        <f t="shared" ref="AF385:AG385" si="1703">+AF152</f>
        <v>0</v>
      </c>
      <c r="AG385" s="25">
        <f t="shared" si="1703"/>
        <v>0</v>
      </c>
      <c r="AH385" s="25">
        <f t="shared" ref="AH385" si="1704">+AH152</f>
        <v>0</v>
      </c>
      <c r="AI385" s="25">
        <f t="shared" si="1702"/>
        <v>0</v>
      </c>
      <c r="AJ385" s="25">
        <f t="shared" ref="AJ385:AM385" si="1705">+AJ152</f>
        <v>0</v>
      </c>
      <c r="AK385" s="25">
        <f t="shared" si="1705"/>
        <v>0</v>
      </c>
      <c r="AL385" s="25">
        <f t="shared" si="1705"/>
        <v>0</v>
      </c>
      <c r="AM385" s="25">
        <f t="shared" si="1705"/>
        <v>0</v>
      </c>
      <c r="AO385" s="25">
        <f>+AO152</f>
        <v>456.58800000000002</v>
      </c>
      <c r="AP385" s="25">
        <f t="shared" ref="AP385:AV385" si="1706">+AP152</f>
        <v>3.3849999999999998</v>
      </c>
      <c r="AQ385" s="25">
        <f t="shared" si="1706"/>
        <v>0</v>
      </c>
      <c r="AR385" s="25">
        <f t="shared" si="1706"/>
        <v>0</v>
      </c>
      <c r="AS385" s="25">
        <f t="shared" si="1706"/>
        <v>5750.6710000000003</v>
      </c>
      <c r="AT385" s="25">
        <f t="shared" si="1706"/>
        <v>7246.0879999999997</v>
      </c>
      <c r="AU385" s="25">
        <f t="shared" si="1706"/>
        <v>209.17099999999999</v>
      </c>
      <c r="AV385" s="25">
        <f t="shared" si="1706"/>
        <v>0</v>
      </c>
      <c r="AW385" s="25">
        <f t="shared" ref="AW385" si="1707">+AW152</f>
        <v>0</v>
      </c>
      <c r="AX385" s="25">
        <f t="shared" si="1696"/>
        <v>0</v>
      </c>
    </row>
    <row r="386" spans="2:51" x14ac:dyDescent="0.2">
      <c r="B386" s="4" t="s">
        <v>379</v>
      </c>
      <c r="H386" s="10">
        <f>+IFERROR(H384+H385,"n/a")</f>
        <v>1384.6039999999998</v>
      </c>
      <c r="I386" s="10">
        <f t="shared" ref="I386:AI386" si="1708">+IFERROR(I384+I385,"n/a")</f>
        <v>2709.0460000000003</v>
      </c>
      <c r="J386" s="10">
        <f t="shared" si="1708"/>
        <v>3372.4180000000001</v>
      </c>
      <c r="K386" s="10">
        <f t="shared" si="1708"/>
        <v>5653.9219999999996</v>
      </c>
      <c r="L386" s="10">
        <f t="shared" si="1708"/>
        <v>4545.2039999999997</v>
      </c>
      <c r="M386" s="10">
        <f t="shared" si="1708"/>
        <v>7290.0079999999998</v>
      </c>
      <c r="N386" s="10">
        <f t="shared" si="1708"/>
        <v>7513.9480000000003</v>
      </c>
      <c r="O386" s="10">
        <f t="shared" si="1708"/>
        <v>10792.726000000001</v>
      </c>
      <c r="P386" s="10">
        <f t="shared" si="1708"/>
        <v>6541.0590000000002</v>
      </c>
      <c r="Q386" s="10">
        <f t="shared" si="1708"/>
        <v>12193.315000000001</v>
      </c>
      <c r="R386" s="10">
        <f t="shared" si="1708"/>
        <v>14209.781999999999</v>
      </c>
      <c r="S386" s="10">
        <f t="shared" si="1708"/>
        <v>25972.767823529408</v>
      </c>
      <c r="T386" s="10">
        <f t="shared" si="1708"/>
        <v>20588.532400721877</v>
      </c>
      <c r="U386" s="10">
        <f t="shared" si="1708"/>
        <v>20919.732892086446</v>
      </c>
      <c r="V386" s="10">
        <f t="shared" si="1708"/>
        <v>18478.088549375618</v>
      </c>
      <c r="W386" s="10">
        <f t="shared" si="1708"/>
        <v>23711.680735664231</v>
      </c>
      <c r="X386" s="10">
        <f t="shared" si="1708"/>
        <v>20182.39606347476</v>
      </c>
      <c r="Y386" s="10">
        <f t="shared" si="1708"/>
        <v>27463.040770648029</v>
      </c>
      <c r="Z386" s="10">
        <f t="shared" si="1708"/>
        <v>31067.223066441296</v>
      </c>
      <c r="AA386" s="10">
        <f t="shared" si="1708"/>
        <v>34484.767931498078</v>
      </c>
      <c r="AB386" s="10">
        <f t="shared" si="1708"/>
        <v>30769.896629811086</v>
      </c>
      <c r="AC386" s="10">
        <f t="shared" si="1708"/>
        <v>42057.849317372544</v>
      </c>
      <c r="AD386" s="10">
        <f t="shared" si="1708"/>
        <v>43555.17328109654</v>
      </c>
      <c r="AE386" s="10">
        <f t="shared" si="1708"/>
        <v>55898.559734254537</v>
      </c>
      <c r="AF386" s="10">
        <f t="shared" ref="AF386:AG386" si="1709">+IFERROR(AF384+AF385,"n/a")</f>
        <v>47958.617480943569</v>
      </c>
      <c r="AG386" s="10">
        <f t="shared" si="1709"/>
        <v>54689.084427241054</v>
      </c>
      <c r="AH386" s="10">
        <f t="shared" ref="AH386" si="1710">+IFERROR(AH384+AH385,"n/a")</f>
        <v>53822.259434753847</v>
      </c>
      <c r="AI386" s="10">
        <f t="shared" si="1708"/>
        <v>60544.775017076783</v>
      </c>
      <c r="AJ386" s="10">
        <f t="shared" ref="AJ386:AM386" si="1711">+IFERROR(AJ384+AJ385,"n/a")</f>
        <v>50326.620417672399</v>
      </c>
      <c r="AK386" s="10">
        <f t="shared" si="1711"/>
        <v>57460.292759782373</v>
      </c>
      <c r="AL386" s="10">
        <f t="shared" si="1711"/>
        <v>61329.756193668538</v>
      </c>
      <c r="AM386" s="10">
        <f t="shared" si="1711"/>
        <v>70155.597271625054</v>
      </c>
      <c r="AO386" s="10">
        <f>+IFERROR(AO384+AO385,"n/a")</f>
        <v>504.86400000000003</v>
      </c>
      <c r="AP386" s="10">
        <f t="shared" ref="AP386:AW386" si="1712">+IFERROR(AP384+AP385,"n/a")</f>
        <v>1744.0760000000002</v>
      </c>
      <c r="AQ386" s="10">
        <f t="shared" si="1712"/>
        <v>13119.990000000002</v>
      </c>
      <c r="AR386" s="10">
        <f t="shared" si="1712"/>
        <v>30141.886000000002</v>
      </c>
      <c r="AS386" s="10">
        <f t="shared" si="1712"/>
        <v>58916.923823529411</v>
      </c>
      <c r="AT386" s="10">
        <f t="shared" si="1712"/>
        <v>83698.034577848171</v>
      </c>
      <c r="AU386" s="10">
        <f t="shared" si="1712"/>
        <v>113197.42783206217</v>
      </c>
      <c r="AV386" s="10">
        <f t="shared" si="1712"/>
        <v>172281.47896253472</v>
      </c>
      <c r="AW386" s="10">
        <f t="shared" si="1712"/>
        <v>217014.73636001523</v>
      </c>
      <c r="AX386" s="10">
        <f t="shared" si="1696"/>
        <v>239272.26664274838</v>
      </c>
    </row>
    <row r="387" spans="2:51" ht="13.5" x14ac:dyDescent="0.35">
      <c r="B387" s="184" t="s">
        <v>378</v>
      </c>
      <c r="H387" s="25">
        <f>+H172</f>
        <v>0</v>
      </c>
      <c r="I387" s="25">
        <f t="shared" ref="I387:AI387" si="1713">+I172</f>
        <v>0</v>
      </c>
      <c r="J387" s="25">
        <f t="shared" si="1713"/>
        <v>0</v>
      </c>
      <c r="K387" s="25">
        <f t="shared" si="1713"/>
        <v>0</v>
      </c>
      <c r="L387" s="25">
        <f t="shared" si="1713"/>
        <v>0</v>
      </c>
      <c r="M387" s="25">
        <f t="shared" si="1713"/>
        <v>0</v>
      </c>
      <c r="N387" s="25">
        <f t="shared" si="1713"/>
        <v>0</v>
      </c>
      <c r="O387" s="25">
        <f t="shared" si="1713"/>
        <v>0</v>
      </c>
      <c r="P387" s="25">
        <f t="shared" si="1713"/>
        <v>0</v>
      </c>
      <c r="Q387" s="25">
        <f t="shared" si="1713"/>
        <v>0</v>
      </c>
      <c r="R387" s="25">
        <f t="shared" si="1713"/>
        <v>0</v>
      </c>
      <c r="S387" s="25">
        <f t="shared" si="1713"/>
        <v>574.94117647058818</v>
      </c>
      <c r="T387" s="25">
        <f t="shared" si="1713"/>
        <v>1578.5665992781244</v>
      </c>
      <c r="U387" s="25">
        <f t="shared" si="1713"/>
        <v>2126.4871079135564</v>
      </c>
      <c r="V387" s="25">
        <f t="shared" si="1713"/>
        <v>3027.6694506243834</v>
      </c>
      <c r="W387" s="25">
        <f t="shared" si="1713"/>
        <v>3519.1812643357771</v>
      </c>
      <c r="X387" s="25">
        <f t="shared" si="1713"/>
        <v>3611.2929365252403</v>
      </c>
      <c r="Y387" s="25">
        <f t="shared" si="1713"/>
        <v>3976.5272293519715</v>
      </c>
      <c r="Z387" s="25">
        <f t="shared" si="1713"/>
        <v>4437.0809335587037</v>
      </c>
      <c r="AA387" s="25">
        <f t="shared" si="1713"/>
        <v>4900</v>
      </c>
      <c r="AB387" s="25">
        <f t="shared" si="1713"/>
        <v>5418.6757051778295</v>
      </c>
      <c r="AC387" s="25">
        <f t="shared" si="1713"/>
        <v>5744.3168131018429</v>
      </c>
      <c r="AD387" s="25">
        <f t="shared" si="1713"/>
        <v>6311.441280872139</v>
      </c>
      <c r="AE387" s="25">
        <f t="shared" si="1713"/>
        <v>6409.6165192835188</v>
      </c>
      <c r="AF387" s="25">
        <f t="shared" ref="AF387:AG387" si="1714">+AF172</f>
        <v>6185.6573766827787</v>
      </c>
      <c r="AG387" s="25">
        <f t="shared" si="1714"/>
        <v>6785.4742354765531</v>
      </c>
      <c r="AH387" s="25">
        <f t="shared" ref="AH387" si="1715">+AH172</f>
        <v>7100.3714409811582</v>
      </c>
      <c r="AI387" s="25">
        <f t="shared" si="1713"/>
        <v>7050.5781712118705</v>
      </c>
      <c r="AJ387" s="25">
        <f t="shared" ref="AJ387:AM387" si="1716">+AJ172</f>
        <v>6804.2231143510571</v>
      </c>
      <c r="AK387" s="25">
        <f t="shared" si="1716"/>
        <v>7464.0216590242089</v>
      </c>
      <c r="AL387" s="25">
        <f t="shared" si="1716"/>
        <v>7810.4085850792744</v>
      </c>
      <c r="AM387" s="25">
        <f t="shared" si="1716"/>
        <v>7755.6359883330588</v>
      </c>
      <c r="AO387" s="25">
        <f>+AO172</f>
        <v>0</v>
      </c>
      <c r="AP387" s="25">
        <f t="shared" ref="AP387:AV387" si="1717">+AP172</f>
        <v>0</v>
      </c>
      <c r="AQ387" s="25">
        <f t="shared" si="1717"/>
        <v>0</v>
      </c>
      <c r="AR387" s="25">
        <f t="shared" si="1717"/>
        <v>0</v>
      </c>
      <c r="AS387" s="25">
        <f t="shared" si="1717"/>
        <v>574.94117647058818</v>
      </c>
      <c r="AT387" s="25">
        <f t="shared" si="1717"/>
        <v>10251.904422151842</v>
      </c>
      <c r="AU387" s="25">
        <f t="shared" si="1717"/>
        <v>16924.901099435916</v>
      </c>
      <c r="AV387" s="25">
        <f t="shared" si="1717"/>
        <v>23884.050318435329</v>
      </c>
      <c r="AW387" s="25">
        <f t="shared" ref="AW387" si="1718">+AW172</f>
        <v>27122.081224352361</v>
      </c>
      <c r="AX387" s="25">
        <f t="shared" si="1696"/>
        <v>29834.289346787598</v>
      </c>
    </row>
    <row r="388" spans="2:51" s="1" customFormat="1" x14ac:dyDescent="0.2">
      <c r="B388" s="38" t="s">
        <v>339</v>
      </c>
      <c r="H388" s="42">
        <f>+IFERROR(H386+H387,"n/a")</f>
        <v>1384.6039999999998</v>
      </c>
      <c r="I388" s="42">
        <f t="shared" ref="I388:AI388" si="1719">+IFERROR(I386+I387,"n/a")</f>
        <v>2709.0460000000003</v>
      </c>
      <c r="J388" s="42">
        <f t="shared" si="1719"/>
        <v>3372.4180000000001</v>
      </c>
      <c r="K388" s="42">
        <f t="shared" si="1719"/>
        <v>5653.9219999999996</v>
      </c>
      <c r="L388" s="42">
        <f t="shared" si="1719"/>
        <v>4545.2039999999997</v>
      </c>
      <c r="M388" s="42">
        <f t="shared" si="1719"/>
        <v>7290.0079999999998</v>
      </c>
      <c r="N388" s="42">
        <f t="shared" si="1719"/>
        <v>7513.9480000000003</v>
      </c>
      <c r="O388" s="42">
        <f t="shared" si="1719"/>
        <v>10792.726000000001</v>
      </c>
      <c r="P388" s="42">
        <f t="shared" si="1719"/>
        <v>6541.0590000000002</v>
      </c>
      <c r="Q388" s="42">
        <f t="shared" si="1719"/>
        <v>12193.315000000001</v>
      </c>
      <c r="R388" s="42">
        <f t="shared" si="1719"/>
        <v>14209.781999999999</v>
      </c>
      <c r="S388" s="42">
        <f t="shared" si="1719"/>
        <v>26547.708999999995</v>
      </c>
      <c r="T388" s="42">
        <f t="shared" si="1719"/>
        <v>22167.099000000002</v>
      </c>
      <c r="U388" s="42">
        <f t="shared" si="1719"/>
        <v>23046.22</v>
      </c>
      <c r="V388" s="42">
        <f t="shared" si="1719"/>
        <v>21505.758000000002</v>
      </c>
      <c r="W388" s="42">
        <f t="shared" si="1719"/>
        <v>27230.862000000008</v>
      </c>
      <c r="X388" s="42">
        <f t="shared" si="1719"/>
        <v>23793.688999999998</v>
      </c>
      <c r="Y388" s="42">
        <f t="shared" si="1719"/>
        <v>31439.567999999999</v>
      </c>
      <c r="Z388" s="42">
        <f t="shared" si="1719"/>
        <v>35504.304000000004</v>
      </c>
      <c r="AA388" s="42">
        <f t="shared" si="1719"/>
        <v>39384.767931498078</v>
      </c>
      <c r="AB388" s="42">
        <f t="shared" si="1719"/>
        <v>36188.572334988916</v>
      </c>
      <c r="AC388" s="42">
        <f t="shared" si="1719"/>
        <v>47802.16613047439</v>
      </c>
      <c r="AD388" s="42">
        <f t="shared" si="1719"/>
        <v>49866.614561968679</v>
      </c>
      <c r="AE388" s="42">
        <f t="shared" si="1719"/>
        <v>62308.176253538055</v>
      </c>
      <c r="AF388" s="42">
        <f t="shared" ref="AF388:AG388" si="1720">+IFERROR(AF386+AF387,"n/a")</f>
        <v>54144.274857626348</v>
      </c>
      <c r="AG388" s="42">
        <f t="shared" si="1720"/>
        <v>61474.558662717609</v>
      </c>
      <c r="AH388" s="42">
        <f t="shared" ref="AH388" si="1721">+IFERROR(AH386+AH387,"n/a")</f>
        <v>60922.630875735005</v>
      </c>
      <c r="AI388" s="42">
        <f t="shared" si="1719"/>
        <v>67595.35318828866</v>
      </c>
      <c r="AJ388" s="42">
        <f t="shared" ref="AJ388:AM388" si="1722">+IFERROR(AJ386+AJ387,"n/a")</f>
        <v>57130.843532023457</v>
      </c>
      <c r="AK388" s="42">
        <f t="shared" si="1722"/>
        <v>64924.314418806578</v>
      </c>
      <c r="AL388" s="42">
        <f t="shared" si="1722"/>
        <v>69140.164778747814</v>
      </c>
      <c r="AM388" s="42">
        <f t="shared" si="1722"/>
        <v>77911.233259958113</v>
      </c>
      <c r="AO388" s="42">
        <f>+IFERROR(AO386+AO387,"n/a")</f>
        <v>504.86400000000003</v>
      </c>
      <c r="AP388" s="42">
        <f t="shared" ref="AP388:AW388" si="1723">+IFERROR(AP386+AP387,"n/a")</f>
        <v>1744.0760000000002</v>
      </c>
      <c r="AQ388" s="42">
        <f t="shared" si="1723"/>
        <v>13119.990000000002</v>
      </c>
      <c r="AR388" s="42">
        <f t="shared" si="1723"/>
        <v>30141.886000000002</v>
      </c>
      <c r="AS388" s="42">
        <f t="shared" si="1723"/>
        <v>59491.864999999998</v>
      </c>
      <c r="AT388" s="42">
        <f t="shared" si="1723"/>
        <v>93949.939000000013</v>
      </c>
      <c r="AU388" s="42">
        <f t="shared" si="1723"/>
        <v>130122.32893149808</v>
      </c>
      <c r="AV388" s="42">
        <f t="shared" si="1723"/>
        <v>196165.52928097005</v>
      </c>
      <c r="AW388" s="42">
        <f t="shared" si="1723"/>
        <v>244136.81758436759</v>
      </c>
      <c r="AX388" s="42">
        <f t="shared" si="1696"/>
        <v>269106.55598953593</v>
      </c>
    </row>
    <row r="389" spans="2:51" s="1" customFormat="1" ht="13.5" x14ac:dyDescent="0.35">
      <c r="B389" t="s">
        <v>340</v>
      </c>
      <c r="H389" s="25">
        <f t="shared" ref="H389:AI389" si="1724">+H187</f>
        <v>0</v>
      </c>
      <c r="I389" s="25">
        <f t="shared" si="1724"/>
        <v>0</v>
      </c>
      <c r="J389" s="25">
        <f t="shared" si="1724"/>
        <v>0</v>
      </c>
      <c r="K389" s="25">
        <f t="shared" si="1724"/>
        <v>0</v>
      </c>
      <c r="L389" s="25">
        <f t="shared" si="1724"/>
        <v>0</v>
      </c>
      <c r="M389" s="25">
        <f t="shared" si="1724"/>
        <v>0</v>
      </c>
      <c r="N389" s="25">
        <f t="shared" si="1724"/>
        <v>0</v>
      </c>
      <c r="O389" s="25">
        <f t="shared" si="1724"/>
        <v>0</v>
      </c>
      <c r="P389" s="25">
        <f t="shared" si="1724"/>
        <v>0</v>
      </c>
      <c r="Q389" s="25">
        <f t="shared" si="1724"/>
        <v>0</v>
      </c>
      <c r="R389" s="25">
        <f t="shared" si="1724"/>
        <v>0</v>
      </c>
      <c r="S389" s="25">
        <f t="shared" si="1724"/>
        <v>0</v>
      </c>
      <c r="T389" s="25">
        <f t="shared" si="1724"/>
        <v>0</v>
      </c>
      <c r="U389" s="25">
        <f t="shared" si="1724"/>
        <v>0</v>
      </c>
      <c r="V389" s="25">
        <f t="shared" si="1724"/>
        <v>0</v>
      </c>
      <c r="W389" s="25">
        <f t="shared" si="1724"/>
        <v>0</v>
      </c>
      <c r="X389" s="25">
        <f t="shared" si="1724"/>
        <v>0</v>
      </c>
      <c r="Y389" s="25">
        <f t="shared" si="1724"/>
        <v>0</v>
      </c>
      <c r="Z389" s="25">
        <f t="shared" si="1724"/>
        <v>0</v>
      </c>
      <c r="AA389" s="25">
        <f t="shared" si="1724"/>
        <v>435.26006850191163</v>
      </c>
      <c r="AB389" s="25">
        <f t="shared" si="1724"/>
        <v>1448.477665011083</v>
      </c>
      <c r="AC389" s="25">
        <f t="shared" si="1724"/>
        <v>4478.5818695256112</v>
      </c>
      <c r="AD389" s="25">
        <f t="shared" si="1724"/>
        <v>18973.75643803132</v>
      </c>
      <c r="AE389" s="25">
        <f t="shared" si="1724"/>
        <v>26572.859746461942</v>
      </c>
      <c r="AF389" s="25">
        <f t="shared" ref="AF389:AG389" si="1725">+AF187</f>
        <v>32667.784142373654</v>
      </c>
      <c r="AG389" s="25">
        <f t="shared" si="1725"/>
        <v>35584.972337282394</v>
      </c>
      <c r="AH389" s="25">
        <f t="shared" ref="AH389" si="1726">+AH187</f>
        <v>38431.770124264993</v>
      </c>
      <c r="AI389" s="25">
        <f t="shared" si="1724"/>
        <v>42274.947136691495</v>
      </c>
      <c r="AJ389" s="25">
        <f t="shared" ref="AJ389:AM389" si="1727">+AJ187</f>
        <v>38221.307446577186</v>
      </c>
      <c r="AK389" s="25">
        <f t="shared" si="1727"/>
        <v>46260.464038467115</v>
      </c>
      <c r="AL389" s="25">
        <f t="shared" si="1727"/>
        <v>49961.301161544485</v>
      </c>
      <c r="AM389" s="25">
        <f t="shared" si="1727"/>
        <v>54957.431277698946</v>
      </c>
      <c r="AN389" s="16"/>
      <c r="AO389" s="25">
        <f>+AO187</f>
        <v>0</v>
      </c>
      <c r="AP389" s="25">
        <f>+AP187</f>
        <v>0</v>
      </c>
      <c r="AQ389" s="25">
        <f>+SUM(H389:K389)</f>
        <v>0</v>
      </c>
      <c r="AR389" s="25">
        <f>+SUM(L389:O389)</f>
        <v>0</v>
      </c>
      <c r="AS389" s="25">
        <f>+SUM(P389:S389)</f>
        <v>0</v>
      </c>
      <c r="AT389" s="25">
        <f>+SUM(T389:W389)</f>
        <v>0</v>
      </c>
      <c r="AU389" s="25">
        <f>+SUM(X389:AA389)</f>
        <v>435.26006850191163</v>
      </c>
      <c r="AV389" s="25">
        <f>+SUM(AB389:AE389)</f>
        <v>51473.675719029954</v>
      </c>
      <c r="AW389" s="25">
        <f>+SUM(AF389:AI389)</f>
        <v>148959.47374061254</v>
      </c>
      <c r="AX389" s="25">
        <f t="shared" si="1696"/>
        <v>189400.50392428774</v>
      </c>
      <c r="AY389" s="42"/>
    </row>
    <row r="390" spans="2:51" s="1" customFormat="1" x14ac:dyDescent="0.2">
      <c r="B390" s="38" t="s">
        <v>224</v>
      </c>
      <c r="H390" s="42">
        <f>+IFERROR(H388+H389,"n/a")</f>
        <v>1384.6039999999998</v>
      </c>
      <c r="I390" s="42">
        <f t="shared" ref="I390:AO390" si="1728">+IFERROR(I388+I389,"n/a")</f>
        <v>2709.0460000000003</v>
      </c>
      <c r="J390" s="42">
        <f t="shared" si="1728"/>
        <v>3372.4180000000001</v>
      </c>
      <c r="K390" s="42">
        <f t="shared" si="1728"/>
        <v>5653.9219999999996</v>
      </c>
      <c r="L390" s="42">
        <f t="shared" si="1728"/>
        <v>4545.2039999999997</v>
      </c>
      <c r="M390" s="42">
        <f t="shared" si="1728"/>
        <v>7290.0079999999998</v>
      </c>
      <c r="N390" s="42">
        <f t="shared" si="1728"/>
        <v>7513.9480000000003</v>
      </c>
      <c r="O390" s="42">
        <f t="shared" si="1728"/>
        <v>10792.726000000001</v>
      </c>
      <c r="P390" s="42">
        <f t="shared" si="1728"/>
        <v>6541.0590000000002</v>
      </c>
      <c r="Q390" s="42">
        <f t="shared" si="1728"/>
        <v>12193.315000000001</v>
      </c>
      <c r="R390" s="42">
        <f t="shared" si="1728"/>
        <v>14209.781999999999</v>
      </c>
      <c r="S390" s="42">
        <f t="shared" si="1728"/>
        <v>26547.708999999995</v>
      </c>
      <c r="T390" s="42">
        <f t="shared" si="1728"/>
        <v>22167.099000000002</v>
      </c>
      <c r="U390" s="42">
        <f t="shared" si="1728"/>
        <v>23046.22</v>
      </c>
      <c r="V390" s="42">
        <f t="shared" si="1728"/>
        <v>21505.758000000002</v>
      </c>
      <c r="W390" s="42">
        <f t="shared" si="1728"/>
        <v>27230.862000000008</v>
      </c>
      <c r="X390" s="42">
        <f t="shared" si="1728"/>
        <v>23793.688999999998</v>
      </c>
      <c r="Y390" s="42">
        <f t="shared" si="1728"/>
        <v>31439.567999999999</v>
      </c>
      <c r="Z390" s="42">
        <f t="shared" si="1728"/>
        <v>35504.304000000004</v>
      </c>
      <c r="AA390" s="42">
        <f t="shared" si="1728"/>
        <v>39820.027999999991</v>
      </c>
      <c r="AB390" s="42">
        <f t="shared" si="1728"/>
        <v>37637.049999999996</v>
      </c>
      <c r="AC390" s="42">
        <f t="shared" si="1728"/>
        <v>52280.748</v>
      </c>
      <c r="AD390" s="42">
        <f t="shared" si="1728"/>
        <v>68840.370999999999</v>
      </c>
      <c r="AE390" s="42">
        <f t="shared" si="1728"/>
        <v>88881.035999999993</v>
      </c>
      <c r="AF390" s="42">
        <f t="shared" ref="AF390:AG390" si="1729">+IFERROR(AF388+AF389,"n/a")</f>
        <v>86812.059000000008</v>
      </c>
      <c r="AG390" s="42">
        <f t="shared" si="1729"/>
        <v>97059.531000000003</v>
      </c>
      <c r="AH390" s="42">
        <f t="shared" ref="AH390" si="1730">+IFERROR(AH388+AH389,"n/a")</f>
        <v>99354.400999999998</v>
      </c>
      <c r="AI390" s="42">
        <f t="shared" si="1728"/>
        <v>109870.30032498015</v>
      </c>
      <c r="AJ390" s="42">
        <f t="shared" ref="AJ390:AM390" si="1731">+IFERROR(AJ388+AJ389,"n/a")</f>
        <v>95352.150978600635</v>
      </c>
      <c r="AK390" s="42">
        <f t="shared" si="1731"/>
        <v>111184.7784572737</v>
      </c>
      <c r="AL390" s="42">
        <f t="shared" si="1731"/>
        <v>119101.4659402923</v>
      </c>
      <c r="AM390" s="42">
        <f t="shared" si="1731"/>
        <v>132868.66453765705</v>
      </c>
      <c r="AO390" s="42">
        <f t="shared" si="1728"/>
        <v>504.86400000000003</v>
      </c>
      <c r="AP390" s="42">
        <f t="shared" ref="AP390" si="1732">+IFERROR(AP388+AP389,"n/a")</f>
        <v>1744.0760000000002</v>
      </c>
      <c r="AQ390" s="42">
        <f>+SUM(H390:K390)</f>
        <v>13119.99</v>
      </c>
      <c r="AR390" s="42">
        <f>+SUM(L390:O390)</f>
        <v>30141.885999999999</v>
      </c>
      <c r="AS390" s="42">
        <f>+SUM(P390:S390)</f>
        <v>59491.864999999998</v>
      </c>
      <c r="AT390" s="42">
        <f>+SUM(T390:W390)</f>
        <v>93949.939000000013</v>
      </c>
      <c r="AU390" s="42">
        <f>+SUM(X390:AA390)</f>
        <v>130557.58899999999</v>
      </c>
      <c r="AV390" s="42">
        <f>+SUM(AB390:AE390)</f>
        <v>247639.20499999999</v>
      </c>
      <c r="AW390" s="42">
        <f>+SUM(AF390:AI390)</f>
        <v>393096.29132498021</v>
      </c>
      <c r="AX390" s="42">
        <f t="shared" si="1696"/>
        <v>458507.05991382367</v>
      </c>
    </row>
    <row r="391" spans="2:51" x14ac:dyDescent="0.2">
      <c r="B391" s="38"/>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220"/>
      <c r="AF391" s="42"/>
      <c r="AG391" s="42"/>
      <c r="AH391" s="42"/>
      <c r="AI391" s="220"/>
      <c r="AJ391" s="42"/>
      <c r="AK391" s="42"/>
      <c r="AL391" s="42"/>
      <c r="AM391" s="42"/>
    </row>
    <row r="392" spans="2:51" x14ac:dyDescent="0.2">
      <c r="B392" s="19" t="s">
        <v>85</v>
      </c>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row>
    <row r="393" spans="2:51" x14ac:dyDescent="0.2">
      <c r="B393" s="20" t="s">
        <v>225</v>
      </c>
      <c r="H393" s="42"/>
      <c r="I393" s="42"/>
      <c r="J393" s="42"/>
      <c r="K393" s="42"/>
      <c r="L393" s="173">
        <f t="shared" ref="L393:U399" si="1733">IFERROR(L382/H382-1,"n/a")</f>
        <v>2.5632289504557355</v>
      </c>
      <c r="M393" s="173">
        <f t="shared" si="1733"/>
        <v>1.7276271303678858</v>
      </c>
      <c r="N393" s="173">
        <f t="shared" si="1733"/>
        <v>1.2565997959077313</v>
      </c>
      <c r="O393" s="173">
        <f t="shared" si="1733"/>
        <v>0.91346813691115147</v>
      </c>
      <c r="P393" s="173">
        <f t="shared" si="1733"/>
        <v>0.39100661683399962</v>
      </c>
      <c r="Q393" s="173">
        <f t="shared" si="1733"/>
        <v>0.7093819723389545</v>
      </c>
      <c r="R393" s="173">
        <f t="shared" si="1733"/>
        <v>0.86022792375125801</v>
      </c>
      <c r="S393" s="173">
        <f t="shared" si="1733"/>
        <v>0.95339764351096257</v>
      </c>
      <c r="T393" s="173">
        <f t="shared" si="1733"/>
        <v>1.5693358119684575</v>
      </c>
      <c r="U393" s="173">
        <f t="shared" si="1733"/>
        <v>0.63554164935125335</v>
      </c>
      <c r="V393" s="173">
        <f t="shared" ref="V393:AH399" si="1734">IFERROR(V382/R382-1,"n/a")</f>
        <v>0.43746349571592291</v>
      </c>
      <c r="W393" s="173">
        <f t="shared" si="1734"/>
        <v>0.18513004060094174</v>
      </c>
      <c r="X393" s="173">
        <f t="shared" si="1734"/>
        <v>0.28678333380339938</v>
      </c>
      <c r="Y393" s="173">
        <f t="shared" si="1734"/>
        <v>0.39226037847906059</v>
      </c>
      <c r="Z393" s="173">
        <f t="shared" si="1734"/>
        <v>0.58391058622251402</v>
      </c>
      <c r="AA393" s="173">
        <f t="shared" si="1734"/>
        <v>0.3808339629505475</v>
      </c>
      <c r="AB393" s="173">
        <f t="shared" si="1734"/>
        <v>0.50037384850282995</v>
      </c>
      <c r="AC393" s="173">
        <f t="shared" si="1734"/>
        <v>0.50690648354835566</v>
      </c>
      <c r="AD393" s="173">
        <f t="shared" si="1734"/>
        <v>0.39619269852979588</v>
      </c>
      <c r="AE393" s="173">
        <f t="shared" si="1734"/>
        <v>0.57194570951141555</v>
      </c>
      <c r="AF393" s="173">
        <f t="shared" si="1734"/>
        <v>0.55834602644959386</v>
      </c>
      <c r="AG393" s="173">
        <f t="shared" si="1734"/>
        <v>0.29481150510490517</v>
      </c>
      <c r="AH393" s="173">
        <f t="shared" si="1734"/>
        <v>0.24348474103221651</v>
      </c>
      <c r="AI393" s="173">
        <f t="shared" ref="AI393:AI399" si="1735">IFERROR(AI382/AE382-1,"n/a")</f>
        <v>0.15978039941829647</v>
      </c>
      <c r="AJ393" s="173">
        <f t="shared" ref="AJ393:AJ399" si="1736">IFERROR(AJ382/AF382-1,"n/a")</f>
        <v>0.10335393665640336</v>
      </c>
      <c r="AK393" s="173">
        <f t="shared" ref="AK393:AK399" si="1737">IFERROR(AK382/AG382-1,"n/a")</f>
        <v>9.1425096790316074E-2</v>
      </c>
      <c r="AL393" s="173">
        <f t="shared" ref="AL393:AL399" si="1738">IFERROR(AL382/AH382-1,"n/a")</f>
        <v>0.15937249999999992</v>
      </c>
      <c r="AM393" s="173">
        <f t="shared" ref="AM393:AM399" si="1739">IFERROR(AM382/AI382-1,"n/a")</f>
        <v>0.15937249999999969</v>
      </c>
      <c r="AP393" s="173" t="str">
        <f t="shared" ref="AP393:AP399" si="1740">IFERROR(AP382/AO382-1,"n/a")</f>
        <v>n/a</v>
      </c>
      <c r="AQ393" s="173">
        <f t="shared" ref="AQ393:AV393" si="1741">IFERROR(AQ382/AP382-1,"n/a")</f>
        <v>8.5227098881561272</v>
      </c>
      <c r="AR393" s="173">
        <f t="shared" si="1741"/>
        <v>1.3284674017580538</v>
      </c>
      <c r="AS393" s="173">
        <f t="shared" si="1741"/>
        <v>0.78840982468587506</v>
      </c>
      <c r="AT393" s="173">
        <f t="shared" si="1741"/>
        <v>0.51319465354336335</v>
      </c>
      <c r="AU393" s="173">
        <f t="shared" si="1741"/>
        <v>0.41561615316768075</v>
      </c>
      <c r="AV393" s="173">
        <f t="shared" si="1741"/>
        <v>0.49472037731692042</v>
      </c>
      <c r="AW393" s="173">
        <f t="shared" ref="AW393:AX393" si="1742">IFERROR(AW382/AV382-1,"n/a")</f>
        <v>0.28549855285445269</v>
      </c>
      <c r="AX393" s="173">
        <f t="shared" si="1742"/>
        <v>0.13041442660869906</v>
      </c>
    </row>
    <row r="394" spans="2:51" ht="13.5" x14ac:dyDescent="0.35">
      <c r="B394" s="20" t="s">
        <v>226</v>
      </c>
      <c r="H394" s="42"/>
      <c r="I394" s="42"/>
      <c r="J394" s="42"/>
      <c r="K394" s="42"/>
      <c r="L394" s="180">
        <f t="shared" si="1733"/>
        <v>1.1583412898185919</v>
      </c>
      <c r="M394" s="180">
        <f t="shared" si="1733"/>
        <v>1.4340420119848325</v>
      </c>
      <c r="N394" s="180">
        <f t="shared" si="1733"/>
        <v>1.014931968775187</v>
      </c>
      <c r="O394" s="180">
        <f t="shared" si="1733"/>
        <v>0.86972904805052553</v>
      </c>
      <c r="P394" s="180">
        <f t="shared" si="1733"/>
        <v>0.75738366929740786</v>
      </c>
      <c r="Q394" s="180">
        <f t="shared" si="1733"/>
        <v>0.38360502348302128</v>
      </c>
      <c r="R394" s="180">
        <f t="shared" si="1733"/>
        <v>0.65998208084058052</v>
      </c>
      <c r="S394" s="180">
        <f t="shared" si="1733"/>
        <v>0.53065325125825313</v>
      </c>
      <c r="T394" s="180">
        <f t="shared" si="1733"/>
        <v>0.28997195882286664</v>
      </c>
      <c r="U394" s="180">
        <f t="shared" si="1733"/>
        <v>-0.22612178451011755</v>
      </c>
      <c r="V394" s="180">
        <f t="shared" si="1734"/>
        <v>-0.66258580329187344</v>
      </c>
      <c r="W394" s="180">
        <f t="shared" si="1734"/>
        <v>-0.28821753036550768</v>
      </c>
      <c r="X394" s="180">
        <f t="shared" si="1734"/>
        <v>0.4635980251273657</v>
      </c>
      <c r="Y394" s="180">
        <f t="shared" si="1734"/>
        <v>1.5417664451825916</v>
      </c>
      <c r="Z394" s="180">
        <f t="shared" si="1734"/>
        <v>4.751502094003226</v>
      </c>
      <c r="AA394" s="180">
        <f t="shared" si="1734"/>
        <v>1.8724860671455428</v>
      </c>
      <c r="AB394" s="180">
        <f t="shared" si="1734"/>
        <v>0.78043815497400804</v>
      </c>
      <c r="AC394" s="180">
        <f t="shared" si="1734"/>
        <v>0.84178933588305482</v>
      </c>
      <c r="AD394" s="180">
        <f t="shared" si="1734"/>
        <v>0.49603070036694707</v>
      </c>
      <c r="AE394" s="180">
        <f t="shared" si="1734"/>
        <v>1.0867304132931164</v>
      </c>
      <c r="AF394" s="180">
        <f t="shared" si="1734"/>
        <v>0.56074892084362982</v>
      </c>
      <c r="AG394" s="180">
        <f t="shared" si="1734"/>
        <v>0.35107725552863633</v>
      </c>
      <c r="AH394" s="180">
        <f t="shared" si="1734"/>
        <v>0.1561067589683347</v>
      </c>
      <c r="AI394" s="180">
        <f t="shared" si="1735"/>
        <v>-0.43350680627819649</v>
      </c>
      <c r="AJ394" s="180">
        <f t="shared" si="1736"/>
        <v>-0.36711730907410811</v>
      </c>
      <c r="AK394" s="180">
        <f t="shared" si="1737"/>
        <v>-0.30847785581946907</v>
      </c>
      <c r="AL394" s="180">
        <f t="shared" si="1738"/>
        <v>-7.999999999999996E-2</v>
      </c>
      <c r="AM394" s="180">
        <f t="shared" si="1739"/>
        <v>0.14999999999999991</v>
      </c>
      <c r="AP394" s="180">
        <f t="shared" si="1740"/>
        <v>10.007871406081698</v>
      </c>
      <c r="AQ394" s="180">
        <f t="shared" ref="AQ394:AV399" si="1743">IFERROR(AQ383/AP383-1,"n/a")</f>
        <v>2.0191319041955826</v>
      </c>
      <c r="AR394" s="180">
        <f t="shared" si="1743"/>
        <v>1.0744289974850645</v>
      </c>
      <c r="AS394" s="180">
        <f t="shared" si="1743"/>
        <v>0.56613284885259696</v>
      </c>
      <c r="AT394" s="180">
        <f t="shared" si="1743"/>
        <v>-0.25399249770904508</v>
      </c>
      <c r="AU394" s="180">
        <f t="shared" si="1743"/>
        <v>1.6401479079206922</v>
      </c>
      <c r="AV394" s="180">
        <f t="shared" si="1743"/>
        <v>0.82547422425328398</v>
      </c>
      <c r="AW394" s="180">
        <f t="shared" ref="AW394:AX394" si="1744">IFERROR(AW383/AV383-1,"n/a")</f>
        <v>4.789793809028553E-2</v>
      </c>
      <c r="AX394" s="180">
        <f t="shared" si="1744"/>
        <v>-0.17736357165669014</v>
      </c>
    </row>
    <row r="395" spans="2:51" x14ac:dyDescent="0.2">
      <c r="B395" s="30" t="s">
        <v>223</v>
      </c>
      <c r="H395" s="42"/>
      <c r="I395" s="42"/>
      <c r="J395" s="42"/>
      <c r="K395" s="42"/>
      <c r="L395" s="173">
        <f t="shared" si="1733"/>
        <v>2.2826743242111105</v>
      </c>
      <c r="M395" s="173">
        <f t="shared" si="1733"/>
        <v>1.6909871593173387</v>
      </c>
      <c r="N395" s="173">
        <f t="shared" si="1733"/>
        <v>1.228059511009608</v>
      </c>
      <c r="O395" s="173">
        <f t="shared" si="1733"/>
        <v>0.90889191608939801</v>
      </c>
      <c r="P395" s="173">
        <f t="shared" si="1733"/>
        <v>0.4391123038701894</v>
      </c>
      <c r="Q395" s="173">
        <f t="shared" si="1733"/>
        <v>0.67260653211903199</v>
      </c>
      <c r="R395" s="173">
        <f t="shared" si="1733"/>
        <v>0.83884157835534645</v>
      </c>
      <c r="S395" s="173">
        <f t="shared" si="1733"/>
        <v>0.91007525100974562</v>
      </c>
      <c r="T395" s="173">
        <f t="shared" si="1733"/>
        <v>1.3642034723615666</v>
      </c>
      <c r="U395" s="173">
        <f t="shared" si="1733"/>
        <v>0.55507914722833318</v>
      </c>
      <c r="V395" s="173">
        <f t="shared" si="1734"/>
        <v>0.33140528375095668</v>
      </c>
      <c r="W395" s="173">
        <f t="shared" si="1734"/>
        <v>0.14625766601096002</v>
      </c>
      <c r="X395" s="173">
        <f t="shared" si="1734"/>
        <v>0.30225203403598488</v>
      </c>
      <c r="Y395" s="173">
        <f t="shared" si="1734"/>
        <v>0.44567833394894607</v>
      </c>
      <c r="Z395" s="173">
        <f t="shared" si="1734"/>
        <v>0.68573932677207217</v>
      </c>
      <c r="AA395" s="173">
        <f t="shared" si="1734"/>
        <v>0.45690047416439783</v>
      </c>
      <c r="AB395" s="173">
        <f t="shared" si="1734"/>
        <v>0.527911063102805</v>
      </c>
      <c r="AC395" s="173">
        <f t="shared" si="1734"/>
        <v>0.53426754073777327</v>
      </c>
      <c r="AD395" s="173">
        <f t="shared" si="1734"/>
        <v>0.4045155466976007</v>
      </c>
      <c r="AE395" s="173">
        <f t="shared" si="1734"/>
        <v>0.62370396533193451</v>
      </c>
      <c r="AF395" s="173">
        <f t="shared" si="1734"/>
        <v>0.55862133883411791</v>
      </c>
      <c r="AG395" s="173">
        <f t="shared" si="1734"/>
        <v>0.30033002911185513</v>
      </c>
      <c r="AH395" s="173">
        <f t="shared" si="1734"/>
        <v>0.2357259856916547</v>
      </c>
      <c r="AI395" s="173">
        <f t="shared" si="1735"/>
        <v>8.3118694022004558E-2</v>
      </c>
      <c r="AJ395" s="173">
        <f t="shared" si="1736"/>
        <v>4.9375963301480974E-2</v>
      </c>
      <c r="AK395" s="173">
        <f t="shared" si="1737"/>
        <v>5.0672055704793495E-2</v>
      </c>
      <c r="AL395" s="173">
        <f t="shared" si="1738"/>
        <v>0.13948683756050162</v>
      </c>
      <c r="AM395" s="173">
        <f t="shared" si="1739"/>
        <v>0.15873908610342546</v>
      </c>
      <c r="AP395" s="173">
        <f t="shared" si="1740"/>
        <v>35.057067694092304</v>
      </c>
      <c r="AQ395" s="173">
        <f t="shared" si="1743"/>
        <v>6.5372309042788181</v>
      </c>
      <c r="AR395" s="173">
        <f t="shared" si="1743"/>
        <v>1.2974015986292673</v>
      </c>
      <c r="AS395" s="173">
        <f t="shared" si="1743"/>
        <v>0.76386616363453186</v>
      </c>
      <c r="AT395" s="173">
        <f t="shared" si="1743"/>
        <v>0.43797884029196377</v>
      </c>
      <c r="AU395" s="173">
        <f t="shared" si="1743"/>
        <v>0.47789901879097907</v>
      </c>
      <c r="AV395" s="173">
        <f t="shared" si="1743"/>
        <v>0.52477331532428062</v>
      </c>
      <c r="AW395" s="173">
        <f t="shared" ref="AW395:AX395" si="1745">IFERROR(AW384/AV384-1,"n/a")</f>
        <v>0.25965215568649991</v>
      </c>
      <c r="AX395" s="173">
        <f t="shared" si="1745"/>
        <v>0.10256229902198521</v>
      </c>
    </row>
    <row r="396" spans="2:51" ht="13.5" x14ac:dyDescent="0.35">
      <c r="B396" s="20" t="s">
        <v>222</v>
      </c>
      <c r="H396" s="42"/>
      <c r="I396" s="42"/>
      <c r="J396" s="42"/>
      <c r="K396" s="42"/>
      <c r="L396" s="180" t="str">
        <f t="shared" si="1733"/>
        <v>n/a</v>
      </c>
      <c r="M396" s="180" t="str">
        <f t="shared" si="1733"/>
        <v>n/a</v>
      </c>
      <c r="N396" s="180" t="str">
        <f t="shared" si="1733"/>
        <v>n/a</v>
      </c>
      <c r="O396" s="180" t="str">
        <f t="shared" si="1733"/>
        <v>n/a</v>
      </c>
      <c r="P396" s="180" t="str">
        <f t="shared" si="1733"/>
        <v>n/a</v>
      </c>
      <c r="Q396" s="180" t="str">
        <f t="shared" si="1733"/>
        <v>n/a</v>
      </c>
      <c r="R396" s="180" t="str">
        <f t="shared" si="1733"/>
        <v>n/a</v>
      </c>
      <c r="S396" s="180" t="str">
        <f t="shared" si="1733"/>
        <v>n/a</v>
      </c>
      <c r="T396" s="180" t="str">
        <f t="shared" si="1733"/>
        <v>n/a</v>
      </c>
      <c r="U396" s="180" t="str">
        <f t="shared" si="1733"/>
        <v>n/a</v>
      </c>
      <c r="V396" s="180">
        <f t="shared" si="1734"/>
        <v>-0.79096130053815727</v>
      </c>
      <c r="W396" s="180">
        <f t="shared" si="1734"/>
        <v>-0.98475656928741362</v>
      </c>
      <c r="X396" s="180">
        <f t="shared" si="1734"/>
        <v>-0.99144109701963534</v>
      </c>
      <c r="Y396" s="180">
        <f t="shared" si="1734"/>
        <v>-0.9741032794511999</v>
      </c>
      <c r="Z396" s="180">
        <f t="shared" si="1734"/>
        <v>-0.31307312914814589</v>
      </c>
      <c r="AA396" s="180">
        <f t="shared" si="1734"/>
        <v>-0.28743020863943991</v>
      </c>
      <c r="AB396" s="180">
        <f t="shared" si="1734"/>
        <v>-1</v>
      </c>
      <c r="AC396" s="180">
        <f t="shared" si="1734"/>
        <v>-1</v>
      </c>
      <c r="AD396" s="180">
        <f t="shared" si="1734"/>
        <v>-1</v>
      </c>
      <c r="AE396" s="180">
        <f t="shared" si="1734"/>
        <v>-1</v>
      </c>
      <c r="AF396" s="180" t="str">
        <f t="shared" si="1734"/>
        <v>n/a</v>
      </c>
      <c r="AG396" s="180" t="str">
        <f t="shared" si="1734"/>
        <v>n/a</v>
      </c>
      <c r="AH396" s="180" t="str">
        <f t="shared" si="1734"/>
        <v>n/a</v>
      </c>
      <c r="AI396" s="180" t="str">
        <f t="shared" si="1735"/>
        <v>n/a</v>
      </c>
      <c r="AJ396" s="180" t="str">
        <f t="shared" si="1736"/>
        <v>n/a</v>
      </c>
      <c r="AK396" s="180" t="str">
        <f t="shared" si="1737"/>
        <v>n/a</v>
      </c>
      <c r="AL396" s="180" t="str">
        <f t="shared" si="1738"/>
        <v>n/a</v>
      </c>
      <c r="AM396" s="180" t="str">
        <f t="shared" si="1739"/>
        <v>n/a</v>
      </c>
      <c r="AP396" s="180">
        <f t="shared" si="1740"/>
        <v>-0.99258631413878595</v>
      </c>
      <c r="AQ396" s="180">
        <f t="shared" si="1743"/>
        <v>-1</v>
      </c>
      <c r="AR396" s="180" t="str">
        <f t="shared" si="1743"/>
        <v>n/a</v>
      </c>
      <c r="AS396" s="180" t="str">
        <f t="shared" si="1743"/>
        <v>n/a</v>
      </c>
      <c r="AT396" s="180">
        <f t="shared" si="1743"/>
        <v>0.26004217594781531</v>
      </c>
      <c r="AU396" s="180">
        <f t="shared" si="1743"/>
        <v>-0.97113325148687124</v>
      </c>
      <c r="AV396" s="180">
        <f t="shared" si="1743"/>
        <v>-1</v>
      </c>
      <c r="AW396" s="180" t="str">
        <f t="shared" ref="AW396:AX396" si="1746">IFERROR(AW385/AV385-1,"n/a")</f>
        <v>n/a</v>
      </c>
      <c r="AX396" s="180" t="str">
        <f t="shared" si="1746"/>
        <v>n/a</v>
      </c>
    </row>
    <row r="397" spans="2:51" x14ac:dyDescent="0.2">
      <c r="B397" s="30" t="s">
        <v>379</v>
      </c>
      <c r="H397" s="42"/>
      <c r="I397" s="42"/>
      <c r="J397" s="42"/>
      <c r="K397" s="42"/>
      <c r="L397" s="173">
        <f t="shared" si="1733"/>
        <v>2.2826743242111105</v>
      </c>
      <c r="M397" s="173">
        <f t="shared" si="1733"/>
        <v>1.6909871593173387</v>
      </c>
      <c r="N397" s="173">
        <f t="shared" si="1733"/>
        <v>1.228059511009608</v>
      </c>
      <c r="O397" s="173">
        <f t="shared" si="1733"/>
        <v>0.90889191608939801</v>
      </c>
      <c r="P397" s="173">
        <f t="shared" si="1733"/>
        <v>0.4391123038701894</v>
      </c>
      <c r="Q397" s="173">
        <f t="shared" si="1733"/>
        <v>0.67260653211903199</v>
      </c>
      <c r="R397" s="173">
        <f t="shared" si="1733"/>
        <v>0.89112061994573266</v>
      </c>
      <c r="S397" s="173">
        <f t="shared" si="1733"/>
        <v>1.4065067364379868</v>
      </c>
      <c r="T397" s="173">
        <f t="shared" si="1733"/>
        <v>2.1475839616676562</v>
      </c>
      <c r="U397" s="173">
        <f t="shared" si="1733"/>
        <v>0.71567230831701178</v>
      </c>
      <c r="V397" s="173">
        <f t="shared" si="1734"/>
        <v>0.30037804586837558</v>
      </c>
      <c r="W397" s="173">
        <f t="shared" si="1734"/>
        <v>-8.7056069773849831E-2</v>
      </c>
      <c r="X397" s="173">
        <f t="shared" si="1734"/>
        <v>-1.9726337426210994E-2</v>
      </c>
      <c r="Y397" s="173">
        <f t="shared" si="1734"/>
        <v>0.31278161687412354</v>
      </c>
      <c r="Z397" s="173">
        <f t="shared" si="1734"/>
        <v>0.6813006920832767</v>
      </c>
      <c r="AA397" s="173">
        <f t="shared" si="1734"/>
        <v>0.45433671766802575</v>
      </c>
      <c r="AB397" s="173">
        <f t="shared" si="1734"/>
        <v>0.52459086290042301</v>
      </c>
      <c r="AC397" s="173">
        <f t="shared" si="1734"/>
        <v>0.53143454392432643</v>
      </c>
      <c r="AD397" s="173">
        <f t="shared" si="1734"/>
        <v>0.40196544724799321</v>
      </c>
      <c r="AE397" s="173">
        <f t="shared" si="1734"/>
        <v>0.62096377871220332</v>
      </c>
      <c r="AF397" s="173">
        <f t="shared" si="1734"/>
        <v>0.55862133883411791</v>
      </c>
      <c r="AG397" s="173">
        <f t="shared" si="1734"/>
        <v>0.30033002911185513</v>
      </c>
      <c r="AH397" s="173">
        <f t="shared" si="1734"/>
        <v>0.2357259856916547</v>
      </c>
      <c r="AI397" s="173">
        <f t="shared" si="1735"/>
        <v>8.3118694022004558E-2</v>
      </c>
      <c r="AJ397" s="173">
        <f t="shared" si="1736"/>
        <v>4.9375963301480974E-2</v>
      </c>
      <c r="AK397" s="173">
        <f t="shared" si="1737"/>
        <v>5.0672055704793495E-2</v>
      </c>
      <c r="AL397" s="173">
        <f t="shared" si="1738"/>
        <v>0.13948683756050162</v>
      </c>
      <c r="AM397" s="173">
        <f t="shared" si="1739"/>
        <v>0.15873908610342546</v>
      </c>
      <c r="AP397" s="173">
        <f t="shared" si="1740"/>
        <v>2.4545461748114348</v>
      </c>
      <c r="AQ397" s="173">
        <f t="shared" si="1743"/>
        <v>6.5226022260497825</v>
      </c>
      <c r="AR397" s="173">
        <f t="shared" si="1743"/>
        <v>1.2974015986292673</v>
      </c>
      <c r="AS397" s="173">
        <f t="shared" si="1743"/>
        <v>0.95465286490465151</v>
      </c>
      <c r="AT397" s="173">
        <f t="shared" si="1743"/>
        <v>0.42061107651418195</v>
      </c>
      <c r="AU397" s="173">
        <f t="shared" si="1743"/>
        <v>0.35245025051067813</v>
      </c>
      <c r="AV397" s="173">
        <f t="shared" si="1743"/>
        <v>0.52195577463234133</v>
      </c>
      <c r="AW397" s="173">
        <f t="shared" ref="AW397:AX397" si="1747">IFERROR(AW386/AV386-1,"n/a")</f>
        <v>0.25965215568649991</v>
      </c>
      <c r="AX397" s="173">
        <f t="shared" si="1747"/>
        <v>0.10256229902198521</v>
      </c>
    </row>
    <row r="398" spans="2:51" ht="13.5" x14ac:dyDescent="0.35">
      <c r="B398" s="20" t="s">
        <v>378</v>
      </c>
      <c r="H398" s="42"/>
      <c r="I398" s="42"/>
      <c r="J398" s="42"/>
      <c r="K398" s="42"/>
      <c r="L398" s="180" t="str">
        <f t="shared" si="1733"/>
        <v>n/a</v>
      </c>
      <c r="M398" s="180" t="str">
        <f t="shared" si="1733"/>
        <v>n/a</v>
      </c>
      <c r="N398" s="180" t="str">
        <f t="shared" si="1733"/>
        <v>n/a</v>
      </c>
      <c r="O398" s="180" t="str">
        <f t="shared" si="1733"/>
        <v>n/a</v>
      </c>
      <c r="P398" s="180" t="str">
        <f t="shared" si="1733"/>
        <v>n/a</v>
      </c>
      <c r="Q398" s="180" t="str">
        <f t="shared" si="1733"/>
        <v>n/a</v>
      </c>
      <c r="R398" s="180" t="str">
        <f t="shared" si="1733"/>
        <v>n/a</v>
      </c>
      <c r="S398" s="180" t="str">
        <f t="shared" si="1733"/>
        <v>n/a</v>
      </c>
      <c r="T398" s="180" t="str">
        <f t="shared" si="1733"/>
        <v>n/a</v>
      </c>
      <c r="U398" s="180" t="str">
        <f t="shared" si="1733"/>
        <v>n/a</v>
      </c>
      <c r="V398" s="180" t="str">
        <f t="shared" si="1734"/>
        <v>n/a</v>
      </c>
      <c r="W398" s="180">
        <f t="shared" si="1734"/>
        <v>5.1209414255891366</v>
      </c>
      <c r="X398" s="180">
        <f t="shared" si="1734"/>
        <v>1.2877038815952888</v>
      </c>
      <c r="Y398" s="180">
        <f t="shared" si="1734"/>
        <v>0.86999827770111304</v>
      </c>
      <c r="Z398" s="180">
        <f t="shared" si="1734"/>
        <v>0.4655103557106155</v>
      </c>
      <c r="AA398" s="180">
        <f t="shared" si="1734"/>
        <v>0.39236931318593027</v>
      </c>
      <c r="AB398" s="180">
        <f t="shared" si="1734"/>
        <v>0.50048079743750717</v>
      </c>
      <c r="AC398" s="180">
        <f t="shared" si="1734"/>
        <v>0.44455613699845231</v>
      </c>
      <c r="AD398" s="180">
        <f t="shared" si="1734"/>
        <v>0.42243095751019544</v>
      </c>
      <c r="AE398" s="180">
        <f t="shared" si="1734"/>
        <v>0.30808500393541194</v>
      </c>
      <c r="AF398" s="180">
        <f t="shared" si="1734"/>
        <v>0.14154411764705865</v>
      </c>
      <c r="AG398" s="180">
        <f t="shared" si="1734"/>
        <v>0.18125000000000013</v>
      </c>
      <c r="AH398" s="180">
        <f t="shared" si="1734"/>
        <v>0.12500000000000022</v>
      </c>
      <c r="AI398" s="180">
        <f t="shared" si="1735"/>
        <v>0.10000000000000009</v>
      </c>
      <c r="AJ398" s="180">
        <f t="shared" si="1736"/>
        <v>0.10000000000000009</v>
      </c>
      <c r="AK398" s="180">
        <f t="shared" si="1737"/>
        <v>0.10000000000000009</v>
      </c>
      <c r="AL398" s="180">
        <f t="shared" si="1738"/>
        <v>0.10000000000000009</v>
      </c>
      <c r="AM398" s="180">
        <f t="shared" si="1739"/>
        <v>0.10000000000000009</v>
      </c>
      <c r="AP398" s="180" t="str">
        <f t="shared" si="1740"/>
        <v>n/a</v>
      </c>
      <c r="AQ398" s="180" t="str">
        <f t="shared" si="1743"/>
        <v>n/a</v>
      </c>
      <c r="AR398" s="180" t="str">
        <f t="shared" si="1743"/>
        <v>n/a</v>
      </c>
      <c r="AS398" s="180" t="str">
        <f t="shared" si="1743"/>
        <v>n/a</v>
      </c>
      <c r="AT398" s="180">
        <f t="shared" si="1743"/>
        <v>16.831223161098968</v>
      </c>
      <c r="AU398" s="180">
        <f t="shared" si="1743"/>
        <v>0.65090313004336742</v>
      </c>
      <c r="AV398" s="180">
        <f t="shared" si="1743"/>
        <v>0.41117813203832254</v>
      </c>
      <c r="AW398" s="180">
        <f t="shared" ref="AW398:AX398" si="1748">IFERROR(AW387/AV387-1,"n/a")</f>
        <v>0.13557293937777803</v>
      </c>
      <c r="AX398" s="180">
        <f t="shared" si="1748"/>
        <v>0.10000000000000009</v>
      </c>
    </row>
    <row r="399" spans="2:51" x14ac:dyDescent="0.2">
      <c r="B399" s="30" t="s">
        <v>339</v>
      </c>
      <c r="H399" s="42"/>
      <c r="I399" s="42"/>
      <c r="J399" s="42"/>
      <c r="K399" s="42"/>
      <c r="L399" s="173">
        <f t="shared" si="1733"/>
        <v>2.2826743242111105</v>
      </c>
      <c r="M399" s="173">
        <f t="shared" si="1733"/>
        <v>1.6909871593173387</v>
      </c>
      <c r="N399" s="173">
        <f t="shared" si="1733"/>
        <v>1.228059511009608</v>
      </c>
      <c r="O399" s="173">
        <f t="shared" si="1733"/>
        <v>0.90889191608939801</v>
      </c>
      <c r="P399" s="173">
        <f t="shared" si="1733"/>
        <v>0.4391123038701894</v>
      </c>
      <c r="Q399" s="173">
        <f t="shared" si="1733"/>
        <v>0.67260653211903199</v>
      </c>
      <c r="R399" s="173">
        <f t="shared" si="1733"/>
        <v>0.89112061994573266</v>
      </c>
      <c r="S399" s="173">
        <f t="shared" si="1733"/>
        <v>1.4597779096773138</v>
      </c>
      <c r="T399" s="173">
        <f t="shared" si="1733"/>
        <v>2.388915923247291</v>
      </c>
      <c r="U399" s="173">
        <f t="shared" si="1733"/>
        <v>0.89007009168548512</v>
      </c>
      <c r="V399" s="173">
        <f t="shared" si="1734"/>
        <v>0.51344742656854292</v>
      </c>
      <c r="W399" s="173">
        <f t="shared" si="1734"/>
        <v>2.5733030296513082E-2</v>
      </c>
      <c r="X399" s="173">
        <f t="shared" si="1734"/>
        <v>7.3378568842048075E-2</v>
      </c>
      <c r="Y399" s="173">
        <f t="shared" si="1734"/>
        <v>0.36419629770088102</v>
      </c>
      <c r="Z399" s="173">
        <f t="shared" si="1734"/>
        <v>0.65092083710790383</v>
      </c>
      <c r="AA399" s="173">
        <f t="shared" si="1734"/>
        <v>0.44632835829795137</v>
      </c>
      <c r="AB399" s="173">
        <f t="shared" si="1734"/>
        <v>0.52093155184927054</v>
      </c>
      <c r="AC399" s="173">
        <f t="shared" si="1734"/>
        <v>0.52044602300115539</v>
      </c>
      <c r="AD399" s="173">
        <f t="shared" si="1734"/>
        <v>0.40452308435531292</v>
      </c>
      <c r="AE399" s="173">
        <f t="shared" si="1734"/>
        <v>0.58203741004417386</v>
      </c>
      <c r="AF399" s="173">
        <f t="shared" si="1734"/>
        <v>0.49617051362031672</v>
      </c>
      <c r="AG399" s="173">
        <f t="shared" si="1734"/>
        <v>0.28602035512208568</v>
      </c>
      <c r="AH399" s="173">
        <f t="shared" si="1734"/>
        <v>0.22171178875652653</v>
      </c>
      <c r="AI399" s="173">
        <f t="shared" si="1735"/>
        <v>8.4855267039698923E-2</v>
      </c>
      <c r="AJ399" s="173">
        <f t="shared" si="1736"/>
        <v>5.5159454665342889E-2</v>
      </c>
      <c r="AK399" s="173">
        <f t="shared" si="1737"/>
        <v>5.6116803945127636E-2</v>
      </c>
      <c r="AL399" s="173">
        <f t="shared" si="1738"/>
        <v>0.13488475111612064</v>
      </c>
      <c r="AM399" s="173">
        <f t="shared" si="1739"/>
        <v>0.15261226674760153</v>
      </c>
      <c r="AP399" s="173">
        <f t="shared" si="1740"/>
        <v>2.4545461748114348</v>
      </c>
      <c r="AQ399" s="173">
        <f t="shared" si="1743"/>
        <v>6.5226022260497825</v>
      </c>
      <c r="AR399" s="173">
        <f t="shared" si="1743"/>
        <v>1.2974015986292673</v>
      </c>
      <c r="AS399" s="173">
        <f t="shared" si="1743"/>
        <v>0.97372735733921867</v>
      </c>
      <c r="AT399" s="173">
        <f t="shared" si="1743"/>
        <v>0.57920648478577719</v>
      </c>
      <c r="AU399" s="173">
        <f t="shared" si="1743"/>
        <v>0.38501770534942081</v>
      </c>
      <c r="AV399" s="173">
        <f t="shared" si="1743"/>
        <v>0.50754702049822598</v>
      </c>
      <c r="AW399" s="173">
        <f t="shared" ref="AW399:AX399" si="1749">IFERROR(AW388/AV388-1,"n/a")</f>
        <v>0.24454494364648416</v>
      </c>
      <c r="AX399" s="173">
        <f t="shared" si="1749"/>
        <v>0.10227764354526103</v>
      </c>
    </row>
    <row r="400" spans="2:51" ht="13.5" x14ac:dyDescent="0.35">
      <c r="B400" s="20" t="s">
        <v>340</v>
      </c>
      <c r="L400" s="180" t="str">
        <f t="shared" ref="L400:AI400" si="1750">+IFERROR(L389/H389-1,"n/a")</f>
        <v>n/a</v>
      </c>
      <c r="M400" s="180" t="str">
        <f t="shared" si="1750"/>
        <v>n/a</v>
      </c>
      <c r="N400" s="180" t="str">
        <f t="shared" si="1750"/>
        <v>n/a</v>
      </c>
      <c r="O400" s="180" t="str">
        <f t="shared" si="1750"/>
        <v>n/a</v>
      </c>
      <c r="P400" s="180" t="str">
        <f t="shared" si="1750"/>
        <v>n/a</v>
      </c>
      <c r="Q400" s="180" t="str">
        <f t="shared" si="1750"/>
        <v>n/a</v>
      </c>
      <c r="R400" s="180" t="str">
        <f t="shared" si="1750"/>
        <v>n/a</v>
      </c>
      <c r="S400" s="180" t="str">
        <f t="shared" si="1750"/>
        <v>n/a</v>
      </c>
      <c r="T400" s="180" t="str">
        <f t="shared" si="1750"/>
        <v>n/a</v>
      </c>
      <c r="U400" s="180" t="str">
        <f t="shared" si="1750"/>
        <v>n/a</v>
      </c>
      <c r="V400" s="180" t="str">
        <f t="shared" si="1750"/>
        <v>n/a</v>
      </c>
      <c r="W400" s="180" t="str">
        <f t="shared" si="1750"/>
        <v>n/a</v>
      </c>
      <c r="X400" s="180" t="str">
        <f t="shared" si="1750"/>
        <v>n/a</v>
      </c>
      <c r="Y400" s="180" t="str">
        <f t="shared" si="1750"/>
        <v>n/a</v>
      </c>
      <c r="Z400" s="180" t="str">
        <f t="shared" si="1750"/>
        <v>n/a</v>
      </c>
      <c r="AA400" s="180" t="str">
        <f t="shared" si="1750"/>
        <v>n/a</v>
      </c>
      <c r="AB400" s="180" t="str">
        <f t="shared" si="1750"/>
        <v>n/a</v>
      </c>
      <c r="AC400" s="180" t="str">
        <f t="shared" si="1750"/>
        <v>n/a</v>
      </c>
      <c r="AD400" s="180" t="str">
        <f t="shared" si="1750"/>
        <v>n/a</v>
      </c>
      <c r="AE400" s="180">
        <f t="shared" si="1750"/>
        <v>60.050534311408434</v>
      </c>
      <c r="AF400" s="180">
        <f t="shared" si="1750"/>
        <v>21.553184582327471</v>
      </c>
      <c r="AG400" s="180">
        <f t="shared" si="1750"/>
        <v>6.9455893347444135</v>
      </c>
      <c r="AH400" s="180">
        <f t="shared" si="1750"/>
        <v>1.0255224762573478</v>
      </c>
      <c r="AI400" s="180">
        <f t="shared" si="1750"/>
        <v>0.59090694565985569</v>
      </c>
      <c r="AJ400" s="180">
        <f t="shared" ref="AJ400" si="1751">+IFERROR(AJ389/AF389-1,"n/a")</f>
        <v>0.17000000000000037</v>
      </c>
      <c r="AK400" s="180">
        <f t="shared" ref="AK400" si="1752">+IFERROR(AK389/AG389-1,"n/a")</f>
        <v>0.30000000000000004</v>
      </c>
      <c r="AL400" s="180">
        <f t="shared" ref="AL400" si="1753">+IFERROR(AL389/AH389-1,"n/a")</f>
        <v>0.29999999999999982</v>
      </c>
      <c r="AM400" s="180">
        <f t="shared" ref="AM400" si="1754">+IFERROR(AM389/AI389-1,"n/a")</f>
        <v>0.30000000000000004</v>
      </c>
      <c r="AP400" s="180" t="str">
        <f t="shared" ref="AP400:AX400" si="1755">+IFERROR(AP389/AO389-1,"n/a")</f>
        <v>n/a</v>
      </c>
      <c r="AQ400" s="180" t="str">
        <f t="shared" si="1755"/>
        <v>n/a</v>
      </c>
      <c r="AR400" s="180" t="str">
        <f t="shared" si="1755"/>
        <v>n/a</v>
      </c>
      <c r="AS400" s="180" t="str">
        <f t="shared" si="1755"/>
        <v>n/a</v>
      </c>
      <c r="AT400" s="180" t="str">
        <f t="shared" si="1755"/>
        <v>n/a</v>
      </c>
      <c r="AU400" s="180" t="str">
        <f t="shared" si="1755"/>
        <v>n/a</v>
      </c>
      <c r="AV400" s="180">
        <f t="shared" si="1755"/>
        <v>117.25958649547904</v>
      </c>
      <c r="AW400" s="180">
        <f t="shared" si="1755"/>
        <v>1.8938961840166746</v>
      </c>
      <c r="AX400" s="180">
        <f t="shared" si="1755"/>
        <v>0.27149015210738692</v>
      </c>
    </row>
    <row r="401" spans="2:50" x14ac:dyDescent="0.2">
      <c r="B401" s="30" t="s">
        <v>224</v>
      </c>
      <c r="H401" s="42"/>
      <c r="I401" s="42"/>
      <c r="J401" s="42"/>
      <c r="K401" s="42"/>
      <c r="L401" s="173">
        <f t="shared" ref="L401:AI401" si="1756">IFERROR(L390/H390-1,"n/a")</f>
        <v>2.2826743242111105</v>
      </c>
      <c r="M401" s="173">
        <f t="shared" si="1756"/>
        <v>1.6909871593173387</v>
      </c>
      <c r="N401" s="173">
        <f t="shared" si="1756"/>
        <v>1.228059511009608</v>
      </c>
      <c r="O401" s="173">
        <f t="shared" si="1756"/>
        <v>0.90889191608939801</v>
      </c>
      <c r="P401" s="173">
        <f t="shared" si="1756"/>
        <v>0.4391123038701894</v>
      </c>
      <c r="Q401" s="173">
        <f t="shared" si="1756"/>
        <v>0.67260653211903199</v>
      </c>
      <c r="R401" s="173">
        <f t="shared" si="1756"/>
        <v>0.89112061994573266</v>
      </c>
      <c r="S401" s="173">
        <f t="shared" si="1756"/>
        <v>1.4597779096773138</v>
      </c>
      <c r="T401" s="173">
        <f t="shared" si="1756"/>
        <v>2.388915923247291</v>
      </c>
      <c r="U401" s="173">
        <f t="shared" si="1756"/>
        <v>0.89007009168548512</v>
      </c>
      <c r="V401" s="173">
        <f t="shared" si="1756"/>
        <v>0.51344742656854292</v>
      </c>
      <c r="W401" s="173">
        <f t="shared" si="1756"/>
        <v>2.5733030296513082E-2</v>
      </c>
      <c r="X401" s="173">
        <f t="shared" si="1756"/>
        <v>7.3378568842048075E-2</v>
      </c>
      <c r="Y401" s="173">
        <f t="shared" si="1756"/>
        <v>0.36419629770088102</v>
      </c>
      <c r="Z401" s="173">
        <f t="shared" si="1756"/>
        <v>0.65092083710790383</v>
      </c>
      <c r="AA401" s="173">
        <f t="shared" si="1756"/>
        <v>0.46231243065313099</v>
      </c>
      <c r="AB401" s="173">
        <f t="shared" si="1756"/>
        <v>0.5818081004589073</v>
      </c>
      <c r="AC401" s="173">
        <f t="shared" si="1756"/>
        <v>0.66289651308185915</v>
      </c>
      <c r="AD401" s="173">
        <f t="shared" si="1756"/>
        <v>0.93893030546381051</v>
      </c>
      <c r="AE401" s="173">
        <f t="shared" si="1756"/>
        <v>1.2320686464610224</v>
      </c>
      <c r="AF401" s="173">
        <f t="shared" si="1756"/>
        <v>1.3065585373986544</v>
      </c>
      <c r="AG401" s="173">
        <f t="shared" si="1756"/>
        <v>0.85650616552004966</v>
      </c>
      <c r="AH401" s="173">
        <f t="shared" si="1756"/>
        <v>0.44325777965374424</v>
      </c>
      <c r="AI401" s="173">
        <f t="shared" si="1756"/>
        <v>0.23615008633540424</v>
      </c>
      <c r="AJ401" s="173">
        <f t="shared" ref="AJ401" si="1757">IFERROR(AJ390/AF390-1,"n/a")</f>
        <v>9.8374489408212584E-2</v>
      </c>
      <c r="AK401" s="173">
        <f t="shared" ref="AK401" si="1758">IFERROR(AK390/AG390-1,"n/a")</f>
        <v>0.14553179179563203</v>
      </c>
      <c r="AL401" s="173">
        <f t="shared" ref="AL401" si="1759">IFERROR(AL390/AH390-1,"n/a")</f>
        <v>0.19875380196084413</v>
      </c>
      <c r="AM401" s="173">
        <f t="shared" ref="AM401" si="1760">IFERROR(AM390/AI390-1,"n/a")</f>
        <v>0.20932284834619663</v>
      </c>
      <c r="AP401" s="173">
        <f t="shared" ref="AP401:AV401" si="1761">IFERROR(AP390/AO390-1,"n/a")</f>
        <v>2.4545461748114348</v>
      </c>
      <c r="AQ401" s="173">
        <f t="shared" si="1761"/>
        <v>6.5226022260497807</v>
      </c>
      <c r="AR401" s="173">
        <f t="shared" si="1761"/>
        <v>1.2974015986292673</v>
      </c>
      <c r="AS401" s="173">
        <f t="shared" si="1761"/>
        <v>0.97372735733921889</v>
      </c>
      <c r="AT401" s="173">
        <f t="shared" si="1761"/>
        <v>0.57920648478577719</v>
      </c>
      <c r="AU401" s="173">
        <f t="shared" si="1761"/>
        <v>0.38965059892162324</v>
      </c>
      <c r="AV401" s="173">
        <f t="shared" si="1761"/>
        <v>0.89678138893940518</v>
      </c>
      <c r="AW401" s="173">
        <f t="shared" ref="AW401:AX401" si="1762">IFERROR(AW390/AV390-1,"n/a")</f>
        <v>0.58737503346846975</v>
      </c>
      <c r="AX401" s="173">
        <f t="shared" si="1762"/>
        <v>0.16639884433498042</v>
      </c>
    </row>
    <row r="402" spans="2:50" x14ac:dyDescent="0.2">
      <c r="B402" s="30"/>
      <c r="H402" s="42"/>
      <c r="I402" s="42"/>
      <c r="J402" s="42"/>
      <c r="K402" s="42"/>
      <c r="L402" s="173"/>
      <c r="M402" s="173"/>
      <c r="N402" s="173"/>
      <c r="O402" s="173"/>
      <c r="P402" s="173"/>
      <c r="Q402" s="173"/>
      <c r="R402" s="173"/>
      <c r="S402" s="173"/>
      <c r="T402" s="173"/>
      <c r="U402" s="173"/>
      <c r="V402" s="173"/>
      <c r="W402" s="173"/>
      <c r="X402" s="173"/>
      <c r="Y402" s="173"/>
      <c r="Z402" s="173"/>
      <c r="AA402" s="173"/>
      <c r="AB402" s="173"/>
      <c r="AC402" s="173"/>
      <c r="AD402" s="173"/>
      <c r="AE402" s="173"/>
      <c r="AF402" s="173"/>
      <c r="AG402" s="173"/>
      <c r="AH402" s="173"/>
      <c r="AI402" s="173"/>
      <c r="AJ402" s="173"/>
      <c r="AK402" s="173"/>
      <c r="AL402" s="173"/>
      <c r="AM402" s="173"/>
      <c r="AP402" s="173"/>
      <c r="AQ402" s="173"/>
      <c r="AR402" s="173"/>
      <c r="AS402" s="173"/>
      <c r="AT402" s="173"/>
      <c r="AU402" s="173"/>
      <c r="AV402" s="173"/>
      <c r="AW402" s="173"/>
      <c r="AX402" s="173"/>
    </row>
    <row r="403" spans="2:50" x14ac:dyDescent="0.2">
      <c r="B403" s="24" t="s">
        <v>86</v>
      </c>
      <c r="H403" s="42"/>
      <c r="I403" s="42"/>
      <c r="J403" s="42"/>
      <c r="K403" s="42"/>
      <c r="L403" s="173"/>
      <c r="M403" s="173"/>
      <c r="N403" s="173"/>
      <c r="O403" s="173"/>
      <c r="P403" s="173"/>
      <c r="Q403" s="173"/>
      <c r="R403" s="173"/>
      <c r="S403" s="173"/>
      <c r="T403" s="173"/>
      <c r="U403" s="173"/>
      <c r="V403" s="173"/>
      <c r="W403" s="173"/>
      <c r="X403" s="173"/>
      <c r="Y403" s="173"/>
      <c r="Z403" s="173"/>
      <c r="AA403" s="173"/>
      <c r="AB403" s="173"/>
      <c r="AC403" s="173"/>
      <c r="AD403" s="173"/>
      <c r="AE403" s="173"/>
      <c r="AF403" s="173"/>
      <c r="AG403" s="173"/>
      <c r="AH403" s="173"/>
      <c r="AI403" s="173"/>
      <c r="AJ403" s="173"/>
      <c r="AK403" s="173"/>
      <c r="AL403" s="173"/>
      <c r="AM403" s="173"/>
      <c r="AP403" s="173"/>
      <c r="AQ403" s="173"/>
      <c r="AR403" s="173"/>
      <c r="AS403" s="173"/>
      <c r="AT403" s="173"/>
      <c r="AU403" s="173"/>
      <c r="AV403" s="173"/>
      <c r="AW403" s="173"/>
      <c r="AX403" s="173"/>
    </row>
    <row r="404" spans="2:50" x14ac:dyDescent="0.2">
      <c r="B404" s="184" t="s">
        <v>225</v>
      </c>
      <c r="H404" s="10">
        <f>+IFERROR(H406-H405,"n/a")</f>
        <v>955.60239999999976</v>
      </c>
      <c r="I404" s="10">
        <f t="shared" ref="I404:K404" si="1763">+IFERROR(I406-I405,"n/a")</f>
        <v>2186.4894000000004</v>
      </c>
      <c r="J404" s="10">
        <f t="shared" si="1763"/>
        <v>2438.9838000000004</v>
      </c>
      <c r="K404" s="10">
        <f t="shared" si="1763"/>
        <v>3995.3874000000001</v>
      </c>
      <c r="L404" s="10">
        <f t="shared" ref="L404" si="1764">+IFERROR(L406-L405,"n/a")</f>
        <v>3341.3692000000001</v>
      </c>
      <c r="M404" s="10">
        <f t="shared" ref="M404" si="1765">+IFERROR(M406-M405,"n/a")</f>
        <v>5224.4036999999998</v>
      </c>
      <c r="N404" s="10">
        <f t="shared" ref="N404" si="1766">+IFERROR(N406-N405,"n/a")</f>
        <v>5246.9337999999998</v>
      </c>
      <c r="O404" s="10">
        <f t="shared" ref="O404" si="1767">+IFERROR(O406-O405,"n/a")</f>
        <v>8165.7893000000004</v>
      </c>
      <c r="P404" s="10">
        <f t="shared" ref="P404" si="1768">+IFERROR(P406-P405,"n/a")</f>
        <v>4068.0578999999998</v>
      </c>
      <c r="Q404" s="10">
        <f t="shared" ref="Q404" si="1769">+IFERROR(Q406-Q405,"n/a")</f>
        <v>8845.0933000000005</v>
      </c>
      <c r="R404" s="10">
        <f t="shared" ref="R404" si="1770">+IFERROR(R406-R405,"n/a")</f>
        <v>10023.199499999999</v>
      </c>
      <c r="S404" s="10">
        <f t="shared" ref="M404:AI405" si="1771">+(S382-O382)*S426+O404</f>
        <v>16015.773899999998</v>
      </c>
      <c r="T404" s="10">
        <f t="shared" ref="T404" si="1772">+(T382-P382)*T426+P404</f>
        <v>11394.3915</v>
      </c>
      <c r="U404" s="10">
        <f t="shared" ref="U404" si="1773">+(U382-Q382)*U426+Q404</f>
        <v>14816.956150000002</v>
      </c>
      <c r="V404" s="10">
        <f t="shared" ref="V404" si="1774">+(V382-R382)*V426+R404</f>
        <v>14665.610499999999</v>
      </c>
      <c r="W404" s="10">
        <f t="shared" ref="W404" si="1775">+(W382-S382)*W426+S404</f>
        <v>18993.346000000001</v>
      </c>
      <c r="X404" s="10">
        <f t="shared" ref="X404" si="1776">+(X382-T382)*X426+T404</f>
        <v>14834.289649999999</v>
      </c>
      <c r="Y404" s="10">
        <f t="shared" ref="Y404" si="1777">+(Y382-U382)*Y426+U404</f>
        <v>20845.353350000001</v>
      </c>
      <c r="Z404" s="10">
        <f t="shared" ref="Z404" si="1778">+(Z382-V382)*Z426+V404</f>
        <v>25144.7595</v>
      </c>
      <c r="AA404" s="10">
        <f t="shared" ref="AA404" si="1779">+(AA382-W382)*AA426+W404</f>
        <v>27533.547999999992</v>
      </c>
      <c r="AB404" s="10">
        <f t="shared" ref="AB404" si="1780">+(AB382-X382)*AB426+X404</f>
        <v>23920.290649999999</v>
      </c>
      <c r="AC404" s="10">
        <f t="shared" ref="AC404" si="1781">+(AC382-Y382)*AC426+Y404</f>
        <v>33605.533349999998</v>
      </c>
      <c r="AD404" s="10">
        <f t="shared" ref="AD404" si="1782">+(AD382-Z382)*AD426+Z404</f>
        <v>35280.589200000002</v>
      </c>
      <c r="AE404" s="10">
        <f t="shared" ref="AE404:AH404" si="1783">+(AE382-AA382)*AE426+AA404</f>
        <v>43472.921499999997</v>
      </c>
      <c r="AF404" s="10">
        <f t="shared" si="1783"/>
        <v>37610.925950000004</v>
      </c>
      <c r="AG404" s="10">
        <f t="shared" si="1783"/>
        <v>42551.961349999998</v>
      </c>
      <c r="AH404" s="10">
        <f t="shared" si="1783"/>
        <v>43011.2644</v>
      </c>
      <c r="AI404" s="10">
        <f t="shared" ref="AI404" si="1784">+(AI382-AE382)*AI426+AE404</f>
        <v>49694.849248777937</v>
      </c>
      <c r="AJ404" s="10">
        <f t="shared" ref="AJ404:AJ405" si="1785">+(AJ382-AF382)*AJ426+AF404</f>
        <v>41121.341829752702</v>
      </c>
      <c r="AK404" s="10">
        <f t="shared" ref="AK404:AK405" si="1786">+(AK382-AG382)*AK426+AG404</f>
        <v>46144.299592392155</v>
      </c>
      <c r="AL404" s="10">
        <f t="shared" ref="AL404:AL405" si="1787">+(AL382-AH382)*AL426+AH404</f>
        <v>49303.421002955998</v>
      </c>
      <c r="AM404" s="10">
        <f t="shared" ref="AM404:AM405" si="1788">+(AM382-AI382)*AM426+AI404</f>
        <v>56892.49737268404</v>
      </c>
      <c r="AO404" s="10">
        <f>+IFERROR(AO406-AO405,"n/a")</f>
        <v>-72.728999999999999</v>
      </c>
      <c r="AP404" s="10">
        <f>+IFERROR(AP406-AP405,"n/a")</f>
        <v>1022.0420000000003</v>
      </c>
      <c r="AQ404" s="14">
        <f t="shared" ref="AQ404:AQ412" si="1789">+SUM(H404:K404)</f>
        <v>9576.4629999999997</v>
      </c>
      <c r="AR404" s="14">
        <f t="shared" ref="AR404:AR412" si="1790">+SUM(L404:O404)</f>
        <v>21978.495999999999</v>
      </c>
      <c r="AS404" s="14">
        <f t="shared" ref="AS404:AS412" si="1791">+SUM(P404:S404)</f>
        <v>38952.124599999996</v>
      </c>
      <c r="AT404" s="14">
        <f t="shared" ref="AT404:AT412" si="1792">+SUM(T404:W404)</f>
        <v>59870.304150000011</v>
      </c>
      <c r="AU404" s="14">
        <f t="shared" ref="AU404:AU412" si="1793">+SUM(X404:AA404)</f>
        <v>88357.950499999992</v>
      </c>
      <c r="AV404" s="14">
        <f t="shared" ref="AV404:AV412" si="1794">+SUM(AB404:AE404)</f>
        <v>136279.33470000001</v>
      </c>
      <c r="AW404" s="14">
        <f t="shared" ref="AW404:AW412" si="1795">+SUM(AF404:AI404)</f>
        <v>172869.00094877795</v>
      </c>
      <c r="AX404" s="10">
        <f>+SUM(AJ404:AM404)</f>
        <v>193461.5597977849</v>
      </c>
    </row>
    <row r="405" spans="2:50" ht="13.5" x14ac:dyDescent="0.35">
      <c r="B405" s="184" t="s">
        <v>226</v>
      </c>
      <c r="H405" s="25">
        <f>+IFERROR(H416*H383,"n/a")</f>
        <v>110.60160000000002</v>
      </c>
      <c r="I405" s="25">
        <f t="shared" ref="I405:K405" si="1796">+IFERROR(I416*I383,"n/a")</f>
        <v>135.23760000000001</v>
      </c>
      <c r="J405" s="25">
        <f t="shared" si="1796"/>
        <v>159.30920000000003</v>
      </c>
      <c r="K405" s="25">
        <f t="shared" si="1796"/>
        <v>236.61760000000001</v>
      </c>
      <c r="L405" s="25">
        <f>+(L383-H383)*L427+H405</f>
        <v>334.80179999999996</v>
      </c>
      <c r="M405" s="25">
        <f t="shared" si="1771"/>
        <v>474.62630000000001</v>
      </c>
      <c r="N405" s="25">
        <f t="shared" si="1771"/>
        <v>442.26320000000004</v>
      </c>
      <c r="O405" s="25">
        <f t="shared" si="1771"/>
        <v>596.75570000000005</v>
      </c>
      <c r="P405" s="25">
        <f t="shared" si="1771"/>
        <v>651.2011</v>
      </c>
      <c r="Q405" s="25">
        <f t="shared" si="1771"/>
        <v>695.6037</v>
      </c>
      <c r="R405" s="25">
        <f t="shared" si="1771"/>
        <v>813.00490000000002</v>
      </c>
      <c r="S405" s="25">
        <f t="shared" si="1771"/>
        <v>1007.5974764705884</v>
      </c>
      <c r="T405" s="25">
        <f t="shared" si="1771"/>
        <v>864.08468050531292</v>
      </c>
      <c r="U405" s="25">
        <f t="shared" si="1771"/>
        <v>515.3774244605105</v>
      </c>
      <c r="V405" s="25">
        <f t="shared" si="1771"/>
        <v>195.15238456293162</v>
      </c>
      <c r="W405" s="25">
        <f t="shared" si="1771"/>
        <v>666.04221496495757</v>
      </c>
      <c r="X405" s="25">
        <f t="shared" si="1771"/>
        <v>1303.1286444323318</v>
      </c>
      <c r="Y405" s="25">
        <f t="shared" si="1771"/>
        <v>1466.3476394536201</v>
      </c>
      <c r="Z405" s="25">
        <f t="shared" si="1771"/>
        <v>1690.1378465089078</v>
      </c>
      <c r="AA405" s="25">
        <f t="shared" si="1771"/>
        <v>2245.4943520486595</v>
      </c>
      <c r="AB405" s="25">
        <f t="shared" si="1771"/>
        <v>2384.8782408677607</v>
      </c>
      <c r="AC405" s="25">
        <f t="shared" si="1771"/>
        <v>2786.0846221607817</v>
      </c>
      <c r="AD405" s="25">
        <f t="shared" si="1771"/>
        <v>2587.7647967675784</v>
      </c>
      <c r="AE405" s="25">
        <f t="shared" si="1771"/>
        <v>4878.5960139781764</v>
      </c>
      <c r="AF405" s="25">
        <f t="shared" si="1771"/>
        <v>3768.7109366604964</v>
      </c>
      <c r="AG405" s="25">
        <f t="shared" si="1771"/>
        <v>3799.8246990687367</v>
      </c>
      <c r="AH405" s="25">
        <f t="shared" si="1771"/>
        <v>3010.3843043276947</v>
      </c>
      <c r="AI405" s="25">
        <f t="shared" si="1771"/>
        <v>2686.7599317730483</v>
      </c>
      <c r="AJ405" s="25">
        <f t="shared" si="1785"/>
        <v>2354.6990975870654</v>
      </c>
      <c r="AK405" s="25">
        <f t="shared" si="1786"/>
        <v>2596.3745697545255</v>
      </c>
      <c r="AL405" s="25">
        <f t="shared" si="1787"/>
        <v>2759.9950079814794</v>
      </c>
      <c r="AM405" s="25">
        <f t="shared" si="1788"/>
        <v>3116.393401539005</v>
      </c>
      <c r="AO405" s="25">
        <f>+IFERROR(AO416*AO383,"n/a")</f>
        <v>0</v>
      </c>
      <c r="AP405" s="25">
        <f>+IFERROR(AP416*AP383,"n/a")</f>
        <v>0</v>
      </c>
      <c r="AQ405" s="15">
        <f t="shared" si="1789"/>
        <v>641.76600000000008</v>
      </c>
      <c r="AR405" s="15">
        <f t="shared" si="1790"/>
        <v>1848.4470000000001</v>
      </c>
      <c r="AS405" s="15">
        <f t="shared" si="1791"/>
        <v>3167.4071764705882</v>
      </c>
      <c r="AT405" s="15">
        <f t="shared" si="1792"/>
        <v>2240.6567044937128</v>
      </c>
      <c r="AU405" s="15">
        <f t="shared" si="1793"/>
        <v>6705.1084824435193</v>
      </c>
      <c r="AV405" s="15">
        <f t="shared" si="1794"/>
        <v>12637.323673774297</v>
      </c>
      <c r="AW405" s="15">
        <f t="shared" si="1795"/>
        <v>13265.679871829976</v>
      </c>
      <c r="AX405" s="25">
        <f t="shared" ref="AX405:AX412" si="1797">+SUM(AJ405:AM405)</f>
        <v>10827.462076862073</v>
      </c>
    </row>
    <row r="406" spans="2:50" x14ac:dyDescent="0.2">
      <c r="B406" s="38" t="s">
        <v>440</v>
      </c>
      <c r="H406" s="42">
        <f>+IFERROR(H408-H407,"n/a")</f>
        <v>1066.2039999999997</v>
      </c>
      <c r="I406" s="42">
        <f t="shared" ref="I406:K406" si="1798">+IFERROR(I408-I407,"n/a")</f>
        <v>2321.7270000000003</v>
      </c>
      <c r="J406" s="42">
        <f t="shared" si="1798"/>
        <v>2598.2930000000006</v>
      </c>
      <c r="K406" s="42">
        <f t="shared" si="1798"/>
        <v>4232.0050000000001</v>
      </c>
      <c r="L406" s="42">
        <f t="shared" ref="L406" si="1799">+IFERROR(L408-L407,"n/a")</f>
        <v>3676.1709999999998</v>
      </c>
      <c r="M406" s="42">
        <f t="shared" ref="M406" si="1800">+IFERROR(M408-M407,"n/a")</f>
        <v>5699.03</v>
      </c>
      <c r="N406" s="42">
        <f t="shared" ref="N406" si="1801">+IFERROR(N408-N407,"n/a")</f>
        <v>5689.1970000000001</v>
      </c>
      <c r="O406" s="42">
        <f t="shared" ref="O406" si="1802">+IFERROR(O408-O407,"n/a")</f>
        <v>8762.5450000000001</v>
      </c>
      <c r="P406" s="42">
        <f t="shared" ref="P406" si="1803">+IFERROR(P408-P407,"n/a")</f>
        <v>4719.259</v>
      </c>
      <c r="Q406" s="42">
        <f t="shared" ref="Q406" si="1804">+IFERROR(Q408-Q407,"n/a")</f>
        <v>9540.6970000000001</v>
      </c>
      <c r="R406" s="42">
        <f t="shared" ref="R406" si="1805">+IFERROR(R408-R407,"n/a")</f>
        <v>10836.204399999999</v>
      </c>
      <c r="S406" s="42">
        <f>+IFERROR(S404+S405,"n/a")</f>
        <v>17023.371376470586</v>
      </c>
      <c r="T406" s="42">
        <f t="shared" ref="T406:AI406" si="1806">+IFERROR(T404+T405,"n/a")</f>
        <v>12258.476180505313</v>
      </c>
      <c r="U406" s="42">
        <f t="shared" si="1806"/>
        <v>15332.333574460512</v>
      </c>
      <c r="V406" s="42">
        <f t="shared" si="1806"/>
        <v>14860.76288456293</v>
      </c>
      <c r="W406" s="42">
        <f t="shared" si="1806"/>
        <v>19659.388214964958</v>
      </c>
      <c r="X406" s="42">
        <f t="shared" si="1806"/>
        <v>16137.418294432331</v>
      </c>
      <c r="Y406" s="42">
        <f t="shared" si="1806"/>
        <v>22311.70098945362</v>
      </c>
      <c r="Z406" s="42">
        <f t="shared" si="1806"/>
        <v>26834.897346508908</v>
      </c>
      <c r="AA406" s="42">
        <f t="shared" si="1806"/>
        <v>29779.042352048651</v>
      </c>
      <c r="AB406" s="42">
        <f t="shared" si="1806"/>
        <v>26305.168890867761</v>
      </c>
      <c r="AC406" s="42">
        <f t="shared" si="1806"/>
        <v>36391.617972160777</v>
      </c>
      <c r="AD406" s="42">
        <f t="shared" si="1806"/>
        <v>37868.353996767582</v>
      </c>
      <c r="AE406" s="42">
        <f t="shared" si="1806"/>
        <v>48351.517513978171</v>
      </c>
      <c r="AF406" s="42">
        <f t="shared" ref="AF406:AG406" si="1807">+IFERROR(AF404+AF405,"n/a")</f>
        <v>41379.636886660504</v>
      </c>
      <c r="AG406" s="42">
        <f t="shared" si="1807"/>
        <v>46351.786049068731</v>
      </c>
      <c r="AH406" s="42">
        <f t="shared" ref="AH406" si="1808">+IFERROR(AH404+AH405,"n/a")</f>
        <v>46021.648704327694</v>
      </c>
      <c r="AI406" s="42">
        <f t="shared" si="1806"/>
        <v>52381.609180550986</v>
      </c>
      <c r="AJ406" s="42">
        <f t="shared" ref="AJ406:AM406" si="1809">+IFERROR(AJ404+AJ405,"n/a")</f>
        <v>43476.040927339767</v>
      </c>
      <c r="AK406" s="42">
        <f t="shared" si="1809"/>
        <v>48740.674162146679</v>
      </c>
      <c r="AL406" s="42">
        <f t="shared" si="1809"/>
        <v>52063.416010937479</v>
      </c>
      <c r="AM406" s="42">
        <f t="shared" si="1809"/>
        <v>60008.890774223044</v>
      </c>
      <c r="AO406" s="42">
        <f>+IFERROR(AO408-AO407,"n/a")</f>
        <v>-72.728999999999999</v>
      </c>
      <c r="AP406" s="42">
        <f>+IFERROR(AP408-AP407,"n/a")</f>
        <v>1022.0420000000003</v>
      </c>
      <c r="AQ406" s="48">
        <f t="shared" si="1789"/>
        <v>10218.228999999999</v>
      </c>
      <c r="AR406" s="48">
        <f t="shared" si="1790"/>
        <v>23826.942999999999</v>
      </c>
      <c r="AS406" s="48">
        <f t="shared" si="1791"/>
        <v>42119.531776470583</v>
      </c>
      <c r="AT406" s="48">
        <f t="shared" si="1792"/>
        <v>62110.960854493715</v>
      </c>
      <c r="AU406" s="48">
        <f t="shared" si="1793"/>
        <v>95063.058982443501</v>
      </c>
      <c r="AV406" s="48">
        <f t="shared" si="1794"/>
        <v>148916.65837377429</v>
      </c>
      <c r="AW406" s="48">
        <f t="shared" si="1795"/>
        <v>186134.68082060793</v>
      </c>
      <c r="AX406" s="42">
        <f t="shared" si="1797"/>
        <v>204289.02187464698</v>
      </c>
    </row>
    <row r="407" spans="2:50" ht="13.5" x14ac:dyDescent="0.35">
      <c r="B407" s="184" t="s">
        <v>441</v>
      </c>
      <c r="H407" s="13">
        <v>0</v>
      </c>
      <c r="I407" s="13">
        <v>0</v>
      </c>
      <c r="J407" s="13">
        <v>0</v>
      </c>
      <c r="K407" s="13">
        <v>0</v>
      </c>
      <c r="L407" s="13">
        <v>0</v>
      </c>
      <c r="M407" s="13">
        <v>0</v>
      </c>
      <c r="N407" s="13">
        <v>0</v>
      </c>
      <c r="O407" s="13">
        <v>0</v>
      </c>
      <c r="P407" s="13">
        <v>0</v>
      </c>
      <c r="Q407" s="13">
        <v>0</v>
      </c>
      <c r="R407" s="25">
        <f t="shared" ref="R407:AE409" si="1810">+IFERROR(R418*R385,"n/a")</f>
        <v>117.8466</v>
      </c>
      <c r="S407" s="25">
        <f t="shared" si="1810"/>
        <v>1607.3547000000001</v>
      </c>
      <c r="T407" s="25">
        <f t="shared" si="1810"/>
        <v>1537.2413999999999</v>
      </c>
      <c r="U407" s="25">
        <f t="shared" si="1810"/>
        <v>587.44889999999998</v>
      </c>
      <c r="V407" s="25">
        <f t="shared" si="1810"/>
        <v>24.634499999999999</v>
      </c>
      <c r="W407" s="25">
        <f t="shared" si="1810"/>
        <v>24.501600000000142</v>
      </c>
      <c r="X407" s="25">
        <f t="shared" si="1810"/>
        <v>13.1571</v>
      </c>
      <c r="Y407" s="25">
        <f t="shared" si="1810"/>
        <v>15.212999999999999</v>
      </c>
      <c r="Z407" s="25">
        <f t="shared" si="1810"/>
        <v>16.922099999999997</v>
      </c>
      <c r="AA407" s="25">
        <f t="shared" si="1810"/>
        <v>17.459099999999999</v>
      </c>
      <c r="AB407" s="13">
        <v>0</v>
      </c>
      <c r="AC407" s="13">
        <v>0</v>
      </c>
      <c r="AD407" s="13">
        <v>0</v>
      </c>
      <c r="AE407" s="13">
        <v>0</v>
      </c>
      <c r="AF407" s="13">
        <v>0</v>
      </c>
      <c r="AG407" s="13">
        <v>0</v>
      </c>
      <c r="AH407" s="13">
        <v>0</v>
      </c>
      <c r="AI407" s="54">
        <v>0</v>
      </c>
      <c r="AJ407" s="54">
        <v>0</v>
      </c>
      <c r="AK407" s="54">
        <v>0</v>
      </c>
      <c r="AL407" s="54">
        <v>0</v>
      </c>
      <c r="AM407" s="54">
        <v>0</v>
      </c>
      <c r="AO407" s="13">
        <v>0</v>
      </c>
      <c r="AP407" s="13">
        <v>0</v>
      </c>
      <c r="AQ407" s="15">
        <f t="shared" si="1789"/>
        <v>0</v>
      </c>
      <c r="AR407" s="15">
        <f t="shared" si="1790"/>
        <v>0</v>
      </c>
      <c r="AS407" s="15">
        <f t="shared" si="1791"/>
        <v>1725.2013000000002</v>
      </c>
      <c r="AT407" s="15">
        <f t="shared" si="1792"/>
        <v>2173.8263999999999</v>
      </c>
      <c r="AU407" s="15">
        <f t="shared" si="1793"/>
        <v>62.751299999999993</v>
      </c>
      <c r="AV407" s="15">
        <f t="shared" si="1794"/>
        <v>0</v>
      </c>
      <c r="AW407" s="15">
        <f t="shared" si="1795"/>
        <v>0</v>
      </c>
      <c r="AX407" s="25">
        <f t="shared" si="1797"/>
        <v>0</v>
      </c>
    </row>
    <row r="408" spans="2:50" x14ac:dyDescent="0.2">
      <c r="B408" s="4" t="s">
        <v>442</v>
      </c>
      <c r="H408" s="10">
        <f>+IFERROR(H410-H409,"n/a")</f>
        <v>1066.2039999999997</v>
      </c>
      <c r="I408" s="10">
        <f t="shared" ref="I408:K408" si="1811">+IFERROR(I410-I409,"n/a")</f>
        <v>2321.7270000000003</v>
      </c>
      <c r="J408" s="10">
        <f t="shared" si="1811"/>
        <v>2598.2930000000006</v>
      </c>
      <c r="K408" s="10">
        <f t="shared" si="1811"/>
        <v>4232.0050000000001</v>
      </c>
      <c r="L408" s="10">
        <f t="shared" ref="L408" si="1812">+IFERROR(L410-L409,"n/a")</f>
        <v>3676.1709999999998</v>
      </c>
      <c r="M408" s="10">
        <f t="shared" ref="M408" si="1813">+IFERROR(M410-M409,"n/a")</f>
        <v>5699.03</v>
      </c>
      <c r="N408" s="10">
        <f t="shared" ref="N408" si="1814">+IFERROR(N410-N409,"n/a")</f>
        <v>5689.1970000000001</v>
      </c>
      <c r="O408" s="10">
        <f t="shared" ref="O408" si="1815">+IFERROR(O410-O409,"n/a")</f>
        <v>8762.5450000000001</v>
      </c>
      <c r="P408" s="10">
        <f t="shared" ref="P408" si="1816">+IFERROR(P410-P409,"n/a")</f>
        <v>4719.259</v>
      </c>
      <c r="Q408" s="10">
        <f t="shared" ref="Q408" si="1817">+IFERROR(Q410-Q409,"n/a")</f>
        <v>9540.6970000000001</v>
      </c>
      <c r="R408" s="10">
        <f t="shared" ref="R408" si="1818">+IFERROR(R410-R409,"n/a")</f>
        <v>10954.050999999999</v>
      </c>
      <c r="S408" s="10">
        <f>+IFERROR(S406+S407,"n/a")</f>
        <v>18630.726076470586</v>
      </c>
      <c r="T408" s="10">
        <f t="shared" ref="T408:AI408" si="1819">+IFERROR(T406+T407,"n/a")</f>
        <v>13795.717580505312</v>
      </c>
      <c r="U408" s="10">
        <f t="shared" si="1819"/>
        <v>15919.782474460511</v>
      </c>
      <c r="V408" s="10">
        <f t="shared" si="1819"/>
        <v>14885.39738456293</v>
      </c>
      <c r="W408" s="10">
        <f t="shared" si="1819"/>
        <v>19683.889814964958</v>
      </c>
      <c r="X408" s="10">
        <f t="shared" si="1819"/>
        <v>16150.575394432331</v>
      </c>
      <c r="Y408" s="10">
        <f t="shared" si="1819"/>
        <v>22326.91398945362</v>
      </c>
      <c r="Z408" s="10">
        <f t="shared" si="1819"/>
        <v>26851.819446508907</v>
      </c>
      <c r="AA408" s="10">
        <f t="shared" si="1819"/>
        <v>29796.501452048651</v>
      </c>
      <c r="AB408" s="10">
        <f t="shared" si="1819"/>
        <v>26305.168890867761</v>
      </c>
      <c r="AC408" s="10">
        <f t="shared" si="1819"/>
        <v>36391.617972160777</v>
      </c>
      <c r="AD408" s="10">
        <f t="shared" si="1819"/>
        <v>37868.353996767582</v>
      </c>
      <c r="AE408" s="10">
        <f t="shared" si="1819"/>
        <v>48351.517513978171</v>
      </c>
      <c r="AF408" s="10">
        <f t="shared" ref="AF408:AG408" si="1820">+IFERROR(AF406+AF407,"n/a")</f>
        <v>41379.636886660504</v>
      </c>
      <c r="AG408" s="10">
        <f t="shared" si="1820"/>
        <v>46351.786049068731</v>
      </c>
      <c r="AH408" s="10">
        <f t="shared" ref="AH408" si="1821">+IFERROR(AH406+AH407,"n/a")</f>
        <v>46021.648704327694</v>
      </c>
      <c r="AI408" s="10">
        <f t="shared" si="1819"/>
        <v>52381.609180550986</v>
      </c>
      <c r="AJ408" s="10">
        <f t="shared" ref="AJ408:AM408" si="1822">+IFERROR(AJ406+AJ407,"n/a")</f>
        <v>43476.040927339767</v>
      </c>
      <c r="AK408" s="10">
        <f t="shared" si="1822"/>
        <v>48740.674162146679</v>
      </c>
      <c r="AL408" s="10">
        <f t="shared" si="1822"/>
        <v>52063.416010937479</v>
      </c>
      <c r="AM408" s="10">
        <f t="shared" si="1822"/>
        <v>60008.890774223044</v>
      </c>
      <c r="AO408" s="10">
        <f>+IFERROR(AO410-AO409,"n/a")</f>
        <v>-72.728999999999999</v>
      </c>
      <c r="AP408" s="10">
        <f>+IFERROR(AP410-AP409,"n/a")</f>
        <v>1022.0420000000003</v>
      </c>
      <c r="AQ408" s="14">
        <f t="shared" si="1789"/>
        <v>10218.228999999999</v>
      </c>
      <c r="AR408" s="14">
        <f t="shared" si="1790"/>
        <v>23826.942999999999</v>
      </c>
      <c r="AS408" s="14">
        <f t="shared" si="1791"/>
        <v>43844.733076470584</v>
      </c>
      <c r="AT408" s="14">
        <f t="shared" si="1792"/>
        <v>64284.787254493713</v>
      </c>
      <c r="AU408" s="14">
        <f t="shared" si="1793"/>
        <v>95125.810282443505</v>
      </c>
      <c r="AV408" s="14">
        <f t="shared" si="1794"/>
        <v>148916.65837377429</v>
      </c>
      <c r="AW408" s="14">
        <f t="shared" si="1795"/>
        <v>186134.68082060793</v>
      </c>
      <c r="AX408" s="10">
        <f t="shared" si="1797"/>
        <v>204289.02187464698</v>
      </c>
    </row>
    <row r="409" spans="2:50" ht="13.5" x14ac:dyDescent="0.35">
      <c r="B409" s="184" t="s">
        <v>443</v>
      </c>
      <c r="H409" s="13">
        <v>0</v>
      </c>
      <c r="I409" s="13">
        <v>0</v>
      </c>
      <c r="J409" s="13">
        <v>0</v>
      </c>
      <c r="K409" s="13">
        <v>0</v>
      </c>
      <c r="L409" s="13">
        <v>0</v>
      </c>
      <c r="M409" s="13">
        <v>0</v>
      </c>
      <c r="N409" s="13">
        <v>0</v>
      </c>
      <c r="O409" s="13">
        <v>0</v>
      </c>
      <c r="P409" s="13">
        <v>0</v>
      </c>
      <c r="Q409" s="13">
        <v>0</v>
      </c>
      <c r="R409" s="13">
        <v>0</v>
      </c>
      <c r="S409" s="25">
        <f>+IFERROR(S410-S408,"n/a")</f>
        <v>-3599.2180764705827</v>
      </c>
      <c r="T409" s="25">
        <f t="shared" ref="T409:Y409" si="1823">+IFERROR(T410-T408,"n/a")</f>
        <v>-2370.3045805053134</v>
      </c>
      <c r="U409" s="25">
        <f t="shared" si="1823"/>
        <v>-764.00647446051153</v>
      </c>
      <c r="V409" s="25">
        <f t="shared" si="1823"/>
        <v>70.801615437070723</v>
      </c>
      <c r="W409" s="25">
        <f t="shared" si="1823"/>
        <v>1037.1921850350518</v>
      </c>
      <c r="X409" s="25">
        <f t="shared" si="1823"/>
        <v>492.69960556766637</v>
      </c>
      <c r="Y409" s="25">
        <f t="shared" si="1823"/>
        <v>1157.7770105463787</v>
      </c>
      <c r="Z409" s="25">
        <f t="shared" si="1810"/>
        <v>1331.1242800676112</v>
      </c>
      <c r="AA409" s="25">
        <f t="shared" si="1810"/>
        <v>1470</v>
      </c>
      <c r="AB409" s="25">
        <f t="shared" si="1810"/>
        <v>1625.6027115533489</v>
      </c>
      <c r="AC409" s="25">
        <f t="shared" si="1810"/>
        <v>1723.2950439305528</v>
      </c>
      <c r="AD409" s="25">
        <f t="shared" si="1810"/>
        <v>1893.4323842616416</v>
      </c>
      <c r="AE409" s="25">
        <f t="shared" si="1810"/>
        <v>1922.8849557850556</v>
      </c>
      <c r="AF409" s="25">
        <f t="shared" ref="AF409:AG409" si="1824">+IFERROR(AF420*AF387,"n/a")</f>
        <v>1855.6972130048334</v>
      </c>
      <c r="AG409" s="25">
        <f t="shared" si="1824"/>
        <v>2035.6422706429657</v>
      </c>
      <c r="AH409" s="25">
        <f t="shared" ref="AH409" si="1825">+IFERROR(AH420*AH387,"n/a")</f>
        <v>2130.1114322943472</v>
      </c>
      <c r="AI409" s="25">
        <f t="shared" ref="AI409" si="1826">+IFERROR(AI420*AI387,"n/a")</f>
        <v>2115.1734513635611</v>
      </c>
      <c r="AJ409" s="25">
        <f t="shared" ref="AJ409:AM409" si="1827">+IFERROR(AJ420*AJ387,"n/a")</f>
        <v>2041.2669343053171</v>
      </c>
      <c r="AK409" s="25">
        <f t="shared" si="1827"/>
        <v>2239.2064977072628</v>
      </c>
      <c r="AL409" s="25">
        <f t="shared" si="1827"/>
        <v>2343.1225755237824</v>
      </c>
      <c r="AM409" s="25">
        <f t="shared" si="1827"/>
        <v>2326.6907964999177</v>
      </c>
      <c r="AO409" s="13">
        <v>0</v>
      </c>
      <c r="AP409" s="13">
        <v>0</v>
      </c>
      <c r="AQ409" s="15">
        <f t="shared" si="1789"/>
        <v>0</v>
      </c>
      <c r="AR409" s="15">
        <f t="shared" si="1790"/>
        <v>0</v>
      </c>
      <c r="AS409" s="15">
        <f t="shared" si="1791"/>
        <v>-3599.2180764705827</v>
      </c>
      <c r="AT409" s="15">
        <f t="shared" si="1792"/>
        <v>-2026.3172544937024</v>
      </c>
      <c r="AU409" s="15">
        <f t="shared" si="1793"/>
        <v>4451.600896181656</v>
      </c>
      <c r="AV409" s="15">
        <f t="shared" si="1794"/>
        <v>7165.2150955305988</v>
      </c>
      <c r="AW409" s="15">
        <f t="shared" si="1795"/>
        <v>8136.6243673057079</v>
      </c>
      <c r="AX409" s="25">
        <f t="shared" si="1797"/>
        <v>8950.2868040362791</v>
      </c>
    </row>
    <row r="410" spans="2:50" x14ac:dyDescent="0.2">
      <c r="B410" s="38" t="s">
        <v>409</v>
      </c>
      <c r="H410" s="42">
        <f>+IFERROR(H412-H411,"n/a")</f>
        <v>1066.2039999999997</v>
      </c>
      <c r="I410" s="42">
        <f t="shared" ref="I410:S410" si="1828">+IFERROR(I412-I411,"n/a")</f>
        <v>2321.7270000000003</v>
      </c>
      <c r="J410" s="42">
        <f t="shared" si="1828"/>
        <v>2598.2930000000006</v>
      </c>
      <c r="K410" s="42">
        <f t="shared" si="1828"/>
        <v>4232.0050000000001</v>
      </c>
      <c r="L410" s="42">
        <f t="shared" si="1828"/>
        <v>3676.1709999999998</v>
      </c>
      <c r="M410" s="42">
        <f t="shared" si="1828"/>
        <v>5699.03</v>
      </c>
      <c r="N410" s="42">
        <f t="shared" si="1828"/>
        <v>5689.1970000000001</v>
      </c>
      <c r="O410" s="42">
        <f t="shared" si="1828"/>
        <v>8762.5450000000001</v>
      </c>
      <c r="P410" s="42">
        <f t="shared" si="1828"/>
        <v>4719.259</v>
      </c>
      <c r="Q410" s="42">
        <f t="shared" si="1828"/>
        <v>9540.6970000000001</v>
      </c>
      <c r="R410" s="42">
        <f t="shared" si="1828"/>
        <v>10954.050999999999</v>
      </c>
      <c r="S410" s="42">
        <f t="shared" si="1828"/>
        <v>15031.508000000003</v>
      </c>
      <c r="T410" s="42">
        <f t="shared" ref="T410" si="1829">+IFERROR(T412-T411,"n/a")</f>
        <v>11425.412999999999</v>
      </c>
      <c r="U410" s="42">
        <f t="shared" ref="U410" si="1830">+IFERROR(U412-U411,"n/a")</f>
        <v>15155.776</v>
      </c>
      <c r="V410" s="42">
        <f t="shared" ref="V410" si="1831">+IFERROR(V412-V411,"n/a")</f>
        <v>14956.199000000001</v>
      </c>
      <c r="W410" s="42">
        <f t="shared" ref="W410" si="1832">+IFERROR(W412-W411,"n/a")</f>
        <v>20721.082000000009</v>
      </c>
      <c r="X410" s="42">
        <f t="shared" ref="X410" si="1833">+IFERROR(X412-X411,"n/a")</f>
        <v>16643.274999999998</v>
      </c>
      <c r="Y410" s="42">
        <f t="shared" ref="Y410" si="1834">+IFERROR(Y412-Y411,"n/a")</f>
        <v>23484.690999999999</v>
      </c>
      <c r="Z410" s="42">
        <f>+IFERROR(Z408+Z409,"n/a")</f>
        <v>28182.943726576519</v>
      </c>
      <c r="AA410" s="42">
        <f t="shared" ref="AA410:AI410" si="1835">+IFERROR(AA408+AA409,"n/a")</f>
        <v>31266.501452048651</v>
      </c>
      <c r="AB410" s="42">
        <f t="shared" si="1835"/>
        <v>27930.771602421111</v>
      </c>
      <c r="AC410" s="42">
        <f t="shared" si="1835"/>
        <v>38114.913016091326</v>
      </c>
      <c r="AD410" s="42">
        <f t="shared" si="1835"/>
        <v>39761.786381029226</v>
      </c>
      <c r="AE410" s="42">
        <f t="shared" si="1835"/>
        <v>50274.402469763227</v>
      </c>
      <c r="AF410" s="42">
        <f t="shared" ref="AF410:AG410" si="1836">+IFERROR(AF408+AF409,"n/a")</f>
        <v>43235.334099665335</v>
      </c>
      <c r="AG410" s="42">
        <f t="shared" si="1836"/>
        <v>48387.428319711697</v>
      </c>
      <c r="AH410" s="42">
        <f t="shared" ref="AH410" si="1837">+IFERROR(AH408+AH409,"n/a")</f>
        <v>48151.760136622041</v>
      </c>
      <c r="AI410" s="42">
        <f t="shared" si="1835"/>
        <v>54496.782631914546</v>
      </c>
      <c r="AJ410" s="42">
        <f t="shared" ref="AJ410:AM410" si="1838">+IFERROR(AJ408+AJ409,"n/a")</f>
        <v>45517.307861645088</v>
      </c>
      <c r="AK410" s="42">
        <f t="shared" si="1838"/>
        <v>50979.880659853945</v>
      </c>
      <c r="AL410" s="42">
        <f t="shared" si="1838"/>
        <v>54406.538586461262</v>
      </c>
      <c r="AM410" s="42">
        <f t="shared" si="1838"/>
        <v>62335.581570722963</v>
      </c>
      <c r="AO410" s="42">
        <f>+IFERROR(AO412-AO411,"n/a")</f>
        <v>-72.728999999999999</v>
      </c>
      <c r="AP410" s="42">
        <f>+IFERROR(AP412-AP411,"n/a")</f>
        <v>1022.0420000000003</v>
      </c>
      <c r="AQ410" s="48">
        <f t="shared" si="1789"/>
        <v>10218.228999999999</v>
      </c>
      <c r="AR410" s="48">
        <f t="shared" si="1790"/>
        <v>23826.942999999999</v>
      </c>
      <c r="AS410" s="48">
        <f t="shared" si="1791"/>
        <v>40245.514999999999</v>
      </c>
      <c r="AT410" s="48">
        <f t="shared" si="1792"/>
        <v>62258.470000000008</v>
      </c>
      <c r="AU410" s="48">
        <f t="shared" si="1793"/>
        <v>99577.41117862516</v>
      </c>
      <c r="AV410" s="48">
        <f t="shared" si="1794"/>
        <v>156081.87346930488</v>
      </c>
      <c r="AW410" s="48">
        <f t="shared" si="1795"/>
        <v>194271.30518791362</v>
      </c>
      <c r="AX410" s="42">
        <f t="shared" si="1797"/>
        <v>213239.30867868324</v>
      </c>
    </row>
    <row r="411" spans="2:50" ht="13.5" x14ac:dyDescent="0.35">
      <c r="B411" t="s">
        <v>411</v>
      </c>
      <c r="H411" s="13">
        <v>0</v>
      </c>
      <c r="I411" s="13">
        <v>0</v>
      </c>
      <c r="J411" s="13">
        <v>0</v>
      </c>
      <c r="K411" s="13">
        <v>0</v>
      </c>
      <c r="L411" s="13">
        <v>0</v>
      </c>
      <c r="M411" s="13">
        <v>0</v>
      </c>
      <c r="N411" s="13">
        <v>0</v>
      </c>
      <c r="O411" s="13">
        <v>0</v>
      </c>
      <c r="P411" s="13">
        <v>0</v>
      </c>
      <c r="Q411" s="13">
        <v>0</v>
      </c>
      <c r="R411" s="13">
        <v>0</v>
      </c>
      <c r="S411" s="13">
        <v>0</v>
      </c>
      <c r="T411" s="13">
        <v>0</v>
      </c>
      <c r="U411" s="13">
        <v>0</v>
      </c>
      <c r="V411" s="13">
        <v>0</v>
      </c>
      <c r="W411" s="13">
        <v>0</v>
      </c>
      <c r="X411" s="13">
        <v>0</v>
      </c>
      <c r="Y411" s="13">
        <v>0</v>
      </c>
      <c r="Z411" s="25">
        <f>+IFERROR(Z412-Z410,"n/a")</f>
        <v>-86.930726576520101</v>
      </c>
      <c r="AA411" s="25">
        <f t="shared" ref="AA411:AE411" si="1839">+IFERROR(AA412-AA410,"n/a")</f>
        <v>-361.40145204865985</v>
      </c>
      <c r="AB411" s="25">
        <f t="shared" si="1839"/>
        <v>-1381.6386024211097</v>
      </c>
      <c r="AC411" s="25">
        <f t="shared" si="1839"/>
        <v>-4495.6760160913327</v>
      </c>
      <c r="AD411" s="25">
        <f t="shared" si="1839"/>
        <v>2268.7736189707721</v>
      </c>
      <c r="AE411" s="25">
        <f t="shared" si="1839"/>
        <v>3574.7655302367712</v>
      </c>
      <c r="AF411" s="25">
        <f t="shared" ref="AF411:AG411" si="1840">+IFERROR(AF412-AF410,"n/a")</f>
        <v>10899.552900334675</v>
      </c>
      <c r="AG411" s="25">
        <f t="shared" si="1840"/>
        <v>15011.710680288306</v>
      </c>
      <c r="AH411" s="25">
        <f t="shared" ref="AH411" si="1841">+IFERROR(AH412-AH410,"n/a")</f>
        <v>11538.151863377956</v>
      </c>
      <c r="AI411" s="25">
        <f>+AI422*AI389</f>
        <v>13527.983083741279</v>
      </c>
      <c r="AJ411" s="25">
        <f t="shared" ref="AJ411:AM411" si="1842">+AJ483+AJ476+AJ469+AJ449</f>
        <v>11877.457606302014</v>
      </c>
      <c r="AK411" s="25">
        <f t="shared" si="1842"/>
        <v>14691.162413463489</v>
      </c>
      <c r="AL411" s="25">
        <f t="shared" si="1842"/>
        <v>15986.455406540568</v>
      </c>
      <c r="AM411" s="25">
        <f t="shared" si="1842"/>
        <v>17735.100947194631</v>
      </c>
      <c r="AO411" s="13">
        <v>0</v>
      </c>
      <c r="AP411" s="13">
        <v>0</v>
      </c>
      <c r="AQ411" s="15">
        <f t="shared" si="1789"/>
        <v>0</v>
      </c>
      <c r="AR411" s="15">
        <f t="shared" si="1790"/>
        <v>0</v>
      </c>
      <c r="AS411" s="15">
        <f t="shared" si="1791"/>
        <v>0</v>
      </c>
      <c r="AT411" s="15">
        <f t="shared" si="1792"/>
        <v>0</v>
      </c>
      <c r="AU411" s="15">
        <f t="shared" si="1793"/>
        <v>-448.33217862517995</v>
      </c>
      <c r="AV411" s="15">
        <f t="shared" si="1794"/>
        <v>-33.775469304899161</v>
      </c>
      <c r="AW411" s="15">
        <f t="shared" si="1795"/>
        <v>50977.398527742218</v>
      </c>
      <c r="AX411" s="25">
        <f t="shared" si="1797"/>
        <v>60290.176373500704</v>
      </c>
    </row>
    <row r="412" spans="2:50" s="1" customFormat="1" x14ac:dyDescent="0.2">
      <c r="B412" s="38" t="s">
        <v>412</v>
      </c>
      <c r="H412" s="42">
        <f t="shared" ref="H412:AH412" si="1843">+H40</f>
        <v>1066.2039999999997</v>
      </c>
      <c r="I412" s="42">
        <f t="shared" si="1843"/>
        <v>2321.7270000000003</v>
      </c>
      <c r="J412" s="42">
        <f t="shared" si="1843"/>
        <v>2598.2930000000006</v>
      </c>
      <c r="K412" s="42">
        <f t="shared" si="1843"/>
        <v>4232.0050000000001</v>
      </c>
      <c r="L412" s="42">
        <f t="shared" si="1843"/>
        <v>3676.1709999999998</v>
      </c>
      <c r="M412" s="42">
        <f t="shared" si="1843"/>
        <v>5699.03</v>
      </c>
      <c r="N412" s="42">
        <f t="shared" si="1843"/>
        <v>5689.1970000000001</v>
      </c>
      <c r="O412" s="42">
        <f t="shared" si="1843"/>
        <v>8762.5450000000001</v>
      </c>
      <c r="P412" s="42">
        <f t="shared" si="1843"/>
        <v>4719.259</v>
      </c>
      <c r="Q412" s="42">
        <f t="shared" si="1843"/>
        <v>9540.6970000000001</v>
      </c>
      <c r="R412" s="42">
        <f t="shared" si="1843"/>
        <v>10954.050999999999</v>
      </c>
      <c r="S412" s="42">
        <f t="shared" si="1843"/>
        <v>15031.508000000003</v>
      </c>
      <c r="T412" s="42">
        <f t="shared" si="1843"/>
        <v>11425.412999999999</v>
      </c>
      <c r="U412" s="42">
        <f t="shared" si="1843"/>
        <v>15155.776</v>
      </c>
      <c r="V412" s="42">
        <f t="shared" si="1843"/>
        <v>14956.199000000001</v>
      </c>
      <c r="W412" s="42">
        <f t="shared" si="1843"/>
        <v>20721.082000000009</v>
      </c>
      <c r="X412" s="42">
        <f t="shared" si="1843"/>
        <v>16643.274999999998</v>
      </c>
      <c r="Y412" s="42">
        <f t="shared" si="1843"/>
        <v>23484.690999999999</v>
      </c>
      <c r="Z412" s="42">
        <f t="shared" si="1843"/>
        <v>28096.012999999999</v>
      </c>
      <c r="AA412" s="42">
        <f t="shared" si="1843"/>
        <v>30905.099999999991</v>
      </c>
      <c r="AB412" s="42">
        <f t="shared" si="1843"/>
        <v>26549.133000000002</v>
      </c>
      <c r="AC412" s="42">
        <f t="shared" si="1843"/>
        <v>33619.236999999994</v>
      </c>
      <c r="AD412" s="42">
        <f t="shared" si="1843"/>
        <v>42030.559999999998</v>
      </c>
      <c r="AE412" s="42">
        <f t="shared" si="1843"/>
        <v>53849.167999999998</v>
      </c>
      <c r="AF412" s="42">
        <f t="shared" si="1843"/>
        <v>54134.88700000001</v>
      </c>
      <c r="AG412" s="42">
        <f t="shared" si="1843"/>
        <v>63399.139000000003</v>
      </c>
      <c r="AH412" s="42">
        <f t="shared" si="1843"/>
        <v>59689.911999999997</v>
      </c>
      <c r="AI412" s="42">
        <f t="shared" ref="AI412" si="1844">+IFERROR(AI410+AI411,"n/a")</f>
        <v>68024.765715655827</v>
      </c>
      <c r="AJ412" s="42">
        <f t="shared" ref="AJ412:AM412" si="1845">+IFERROR(AJ410+AJ411,"n/a")</f>
        <v>57394.765467947102</v>
      </c>
      <c r="AK412" s="42">
        <f t="shared" si="1845"/>
        <v>65671.043073317429</v>
      </c>
      <c r="AL412" s="42">
        <f t="shared" si="1845"/>
        <v>70392.99399300183</v>
      </c>
      <c r="AM412" s="42">
        <f t="shared" si="1845"/>
        <v>80070.682517917594</v>
      </c>
      <c r="AO412" s="42">
        <f>+AO40</f>
        <v>-72.728999999999999</v>
      </c>
      <c r="AP412" s="42">
        <f>+AP40</f>
        <v>1022.0420000000003</v>
      </c>
      <c r="AQ412" s="48">
        <f t="shared" si="1789"/>
        <v>10218.228999999999</v>
      </c>
      <c r="AR412" s="48">
        <f t="shared" si="1790"/>
        <v>23826.942999999999</v>
      </c>
      <c r="AS412" s="48">
        <f t="shared" si="1791"/>
        <v>40245.514999999999</v>
      </c>
      <c r="AT412" s="48">
        <f t="shared" si="1792"/>
        <v>62258.470000000008</v>
      </c>
      <c r="AU412" s="48">
        <f t="shared" si="1793"/>
        <v>99129.078999999983</v>
      </c>
      <c r="AV412" s="48">
        <f t="shared" si="1794"/>
        <v>156048.098</v>
      </c>
      <c r="AW412" s="48">
        <f t="shared" si="1795"/>
        <v>245248.70371565584</v>
      </c>
      <c r="AX412" s="42">
        <f t="shared" si="1797"/>
        <v>273529.48505218397</v>
      </c>
    </row>
    <row r="413" spans="2:50" x14ac:dyDescent="0.2">
      <c r="B413" s="38"/>
      <c r="Z413" s="10"/>
      <c r="AA413" s="10"/>
      <c r="AB413" s="10"/>
      <c r="AC413" s="10"/>
      <c r="AD413" s="10"/>
      <c r="AE413" s="10"/>
    </row>
    <row r="414" spans="2:50" x14ac:dyDescent="0.2">
      <c r="B414" s="19" t="s">
        <v>87</v>
      </c>
    </row>
    <row r="415" spans="2:50" x14ac:dyDescent="0.2">
      <c r="B415" s="20" t="s">
        <v>225</v>
      </c>
      <c r="H415" s="196">
        <f>+IFERROR(H404/H382,"n/a")</f>
        <v>0.86237920765273879</v>
      </c>
      <c r="I415" s="196">
        <f t="shared" ref="I415:X423" si="1846">+IFERROR(I404/I382,"n/a")</f>
        <v>0.92219893106229067</v>
      </c>
      <c r="J415" s="196">
        <f t="shared" si="1846"/>
        <v>0.82006216912759822</v>
      </c>
      <c r="K415" s="196">
        <f t="shared" si="1846"/>
        <v>0.78923134542699114</v>
      </c>
      <c r="L415" s="196">
        <f t="shared" ref="L415:AA416" si="1847">+IFERROR(L404/L382,"n/a")</f>
        <v>0.84625604103318441</v>
      </c>
      <c r="M415" s="196">
        <f t="shared" si="1847"/>
        <v>0.80784671829125787</v>
      </c>
      <c r="N415" s="196">
        <f t="shared" si="1847"/>
        <v>0.78178782395173618</v>
      </c>
      <c r="O415" s="196">
        <f t="shared" si="1847"/>
        <v>0.84298988747353454</v>
      </c>
      <c r="P415" s="196">
        <f t="shared" si="1847"/>
        <v>0.74068789407658386</v>
      </c>
      <c r="Q415" s="196">
        <f t="shared" si="1847"/>
        <v>0.80012075409025196</v>
      </c>
      <c r="R415" s="196">
        <f t="shared" si="1847"/>
        <v>0.80282988899493746</v>
      </c>
      <c r="S415" s="196">
        <f t="shared" si="1847"/>
        <v>0.8464113233423044</v>
      </c>
      <c r="T415" s="196">
        <f t="shared" si="1847"/>
        <v>0.80745511138940285</v>
      </c>
      <c r="U415" s="196">
        <f t="shared" si="1847"/>
        <v>0.81950291915248208</v>
      </c>
      <c r="V415" s="196">
        <f t="shared" si="1847"/>
        <v>0.81718517642664057</v>
      </c>
      <c r="W415" s="196">
        <f t="shared" si="1847"/>
        <v>0.84697191317850995</v>
      </c>
      <c r="X415" s="196">
        <f t="shared" si="1847"/>
        <v>0.81693702234637633</v>
      </c>
      <c r="Y415" s="196">
        <f t="shared" si="1847"/>
        <v>0.82809527490767654</v>
      </c>
      <c r="Z415" s="196">
        <f t="shared" si="1847"/>
        <v>0.88458008604554095</v>
      </c>
      <c r="AA415" s="196">
        <f t="shared" si="1847"/>
        <v>0.88917705464420815</v>
      </c>
      <c r="AB415" s="196">
        <f t="shared" ref="AB415:AI416" si="1848">+IFERROR(AB404/AB382,"n/a")</f>
        <v>0.87798842412756284</v>
      </c>
      <c r="AC415" s="196">
        <f t="shared" si="1848"/>
        <v>0.88592210135858296</v>
      </c>
      <c r="AD415" s="196">
        <f t="shared" si="1848"/>
        <v>0.88895574087251972</v>
      </c>
      <c r="AE415" s="196">
        <f t="shared" si="1848"/>
        <v>0.89311493692797073</v>
      </c>
      <c r="AF415" s="196">
        <f t="shared" ref="AF415" si="1849">+IFERROR(AF404/AF382,"n/a")</f>
        <v>0.88587503962609226</v>
      </c>
      <c r="AG415" s="196">
        <f t="shared" si="1848"/>
        <v>0.86635877192921729</v>
      </c>
      <c r="AH415" s="196">
        <f t="shared" ref="AH415" si="1850">+IFERROR(AH404/AH382,"n/a")</f>
        <v>0.8715374607642371</v>
      </c>
      <c r="AI415" s="196">
        <f t="shared" si="1848"/>
        <v>0.88028669649415847</v>
      </c>
      <c r="AJ415" s="196">
        <f t="shared" ref="AJ415:AM415" si="1851">+IFERROR(AJ404/AJ382,"n/a")</f>
        <v>0.87783090880731118</v>
      </c>
      <c r="AK415" s="196">
        <f t="shared" si="1851"/>
        <v>0.8608001154860434</v>
      </c>
      <c r="AL415" s="196">
        <f t="shared" si="1851"/>
        <v>0.86170360325455109</v>
      </c>
      <c r="AM415" s="196">
        <f t="shared" si="1851"/>
        <v>0.86925013013001307</v>
      </c>
      <c r="AO415" s="196" t="str">
        <f>+IFERROR(AO404/AO382,"n/a")</f>
        <v>n/a</v>
      </c>
      <c r="AP415" s="196">
        <f>+IFERROR(AP404/AP382,"n/a")</f>
        <v>0.8451692129581776</v>
      </c>
      <c r="AQ415" s="196">
        <f>+IFERROR(AQ404/AQ382,"n/a")</f>
        <v>0.83160962435657781</v>
      </c>
      <c r="AR415" s="196">
        <f t="shared" ref="AR415:AW417" si="1852">+IFERROR(AR404/AR382,"n/a")</f>
        <v>0.81967592539931433</v>
      </c>
      <c r="AS415" s="196">
        <f t="shared" si="1852"/>
        <v>0.81228477530415277</v>
      </c>
      <c r="AT415" s="196">
        <f t="shared" si="1852"/>
        <v>0.82507576133213834</v>
      </c>
      <c r="AU415" s="196">
        <f t="shared" si="1852"/>
        <v>0.86016642854158376</v>
      </c>
      <c r="AV415" s="196">
        <f t="shared" si="1852"/>
        <v>0.88757876689424187</v>
      </c>
      <c r="AW415" s="196">
        <f t="shared" si="1852"/>
        <v>0.87583526855345473</v>
      </c>
      <c r="AX415" s="196">
        <f t="shared" ref="AX415" si="1853">+IFERROR(AX404/AX382,"n/a")</f>
        <v>0.8670862532964696</v>
      </c>
    </row>
    <row r="416" spans="2:50" ht="13.5" x14ac:dyDescent="0.35">
      <c r="B416" s="20" t="s">
        <v>226</v>
      </c>
      <c r="H416" s="205">
        <v>0.4</v>
      </c>
      <c r="I416" s="205">
        <v>0.4</v>
      </c>
      <c r="J416" s="205">
        <v>0.4</v>
      </c>
      <c r="K416" s="205">
        <v>0.4</v>
      </c>
      <c r="L416" s="198">
        <f t="shared" si="1846"/>
        <v>0.5610043733976775</v>
      </c>
      <c r="M416" s="198">
        <f t="shared" si="1846"/>
        <v>0.57674822434335649</v>
      </c>
      <c r="N416" s="198">
        <f t="shared" si="1846"/>
        <v>0.55111159848123292</v>
      </c>
      <c r="O416" s="198">
        <f t="shared" si="1846"/>
        <v>0.5395489441035346</v>
      </c>
      <c r="P416" s="198">
        <f t="shared" si="1846"/>
        <v>0.62090763728452525</v>
      </c>
      <c r="Q416" s="198">
        <f t="shared" si="1846"/>
        <v>0.61091982642100029</v>
      </c>
      <c r="R416" s="198">
        <f t="shared" si="1846"/>
        <v>0.61030722365185219</v>
      </c>
      <c r="S416" s="198">
        <f t="shared" si="1846"/>
        <v>0.59517478516798705</v>
      </c>
      <c r="T416" s="198">
        <f t="shared" si="1846"/>
        <v>0.63868675813104614</v>
      </c>
      <c r="U416" s="198">
        <f t="shared" si="1846"/>
        <v>0.58489122474831523</v>
      </c>
      <c r="V416" s="198">
        <f t="shared" si="1846"/>
        <v>0.43417604468571119</v>
      </c>
      <c r="W416" s="198">
        <f t="shared" si="1846"/>
        <v>0.55272858028402727</v>
      </c>
      <c r="X416" s="198">
        <f t="shared" si="1846"/>
        <v>0.65810786785967523</v>
      </c>
      <c r="Y416" s="198">
        <f t="shared" si="1847"/>
        <v>0.65471307937444434</v>
      </c>
      <c r="Z416" s="198">
        <f t="shared" si="1847"/>
        <v>0.65378182064969625</v>
      </c>
      <c r="AA416" s="198">
        <f t="shared" si="1847"/>
        <v>0.64873032757219951</v>
      </c>
      <c r="AB416" s="198">
        <f t="shared" si="1848"/>
        <v>0.67647088609997996</v>
      </c>
      <c r="AC416" s="198">
        <f t="shared" si="1848"/>
        <v>0.67541145464182928</v>
      </c>
      <c r="AD416" s="198">
        <f t="shared" si="1848"/>
        <v>0.66910612907945843</v>
      </c>
      <c r="AE416" s="198">
        <f t="shared" si="1848"/>
        <v>0.6754306200258563</v>
      </c>
      <c r="AF416" s="198">
        <f t="shared" ref="AF416" si="1854">+IFERROR(AF405/AF383,"n/a")</f>
        <v>0.68492447210067475</v>
      </c>
      <c r="AG416" s="198">
        <f t="shared" si="1848"/>
        <v>0.6818007850716501</v>
      </c>
      <c r="AH416" s="198">
        <f t="shared" ref="AH416" si="1855">+IFERROR(AH405/AH383,"n/a")</f>
        <v>0.67327766602791073</v>
      </c>
      <c r="AI416" s="198">
        <f t="shared" si="1848"/>
        <v>0.65662899352289583</v>
      </c>
      <c r="AJ416" s="198">
        <f t="shared" ref="AJ416:AM416" si="1856">+IFERROR(AJ405/AJ383,"n/a")</f>
        <v>0.67617958570288883</v>
      </c>
      <c r="AK416" s="198">
        <f t="shared" si="1856"/>
        <v>0.67368238301332151</v>
      </c>
      <c r="AL416" s="198">
        <f t="shared" si="1856"/>
        <v>0.67095398481294644</v>
      </c>
      <c r="AM416" s="198">
        <f t="shared" si="1856"/>
        <v>0.66228608132425726</v>
      </c>
      <c r="AO416" s="205">
        <v>0</v>
      </c>
      <c r="AP416" s="205">
        <v>0</v>
      </c>
      <c r="AQ416" s="198">
        <f t="shared" ref="AQ416:AQ423" si="1857">+IFERROR(AQ405/AQ383,"n/a")</f>
        <v>0.40000000000000008</v>
      </c>
      <c r="AR416" s="198">
        <f t="shared" si="1852"/>
        <v>0.55538189045578079</v>
      </c>
      <c r="AS416" s="198">
        <f t="shared" si="1852"/>
        <v>0.60765910462182604</v>
      </c>
      <c r="AT416" s="198">
        <f t="shared" si="1852"/>
        <v>0.57621988372154542</v>
      </c>
      <c r="AU416" s="198">
        <f t="shared" si="1852"/>
        <v>0.65311621901670625</v>
      </c>
      <c r="AV416" s="198">
        <f t="shared" si="1852"/>
        <v>0.6743169307129101</v>
      </c>
      <c r="AW416" s="198">
        <f t="shared" si="1852"/>
        <v>0.67549086761837196</v>
      </c>
      <c r="AX416" s="198">
        <f t="shared" ref="AX416" si="1858">+IFERROR(AX405/AX383,"n/a")</f>
        <v>0.6702066045981131</v>
      </c>
    </row>
    <row r="417" spans="2:50" x14ac:dyDescent="0.2">
      <c r="B417" s="30" t="s">
        <v>440</v>
      </c>
      <c r="H417" s="196">
        <f t="shared" ref="H417:H423" si="1859">+IFERROR(H406/H384,"n/a")</f>
        <v>0.77004255368321906</v>
      </c>
      <c r="I417" s="196">
        <f t="shared" si="1846"/>
        <v>0.85702752924830372</v>
      </c>
      <c r="J417" s="196">
        <f t="shared" si="1846"/>
        <v>0.77045401845204253</v>
      </c>
      <c r="K417" s="196">
        <f t="shared" si="1846"/>
        <v>0.74850784994911501</v>
      </c>
      <c r="L417" s="196">
        <f t="shared" si="1846"/>
        <v>0.80880220117732893</v>
      </c>
      <c r="M417" s="196">
        <f t="shared" si="1846"/>
        <v>0.78175908723282606</v>
      </c>
      <c r="N417" s="196">
        <f t="shared" si="1846"/>
        <v>0.7571515001168494</v>
      </c>
      <c r="O417" s="196">
        <f t="shared" si="1846"/>
        <v>0.81189358462356953</v>
      </c>
      <c r="P417" s="196">
        <f t="shared" si="1846"/>
        <v>0.72148240827670262</v>
      </c>
      <c r="Q417" s="196">
        <f t="shared" si="1846"/>
        <v>0.78245309007435626</v>
      </c>
      <c r="R417" s="196">
        <f t="shared" si="1846"/>
        <v>0.78426834846449578</v>
      </c>
      <c r="S417" s="196">
        <f t="shared" si="1846"/>
        <v>0.82577920981384068</v>
      </c>
      <c r="T417" s="196">
        <f t="shared" si="1846"/>
        <v>0.79269034808974403</v>
      </c>
      <c r="U417" s="196">
        <f t="shared" si="1846"/>
        <v>0.8086004303293165</v>
      </c>
      <c r="V417" s="196">
        <f t="shared" si="1846"/>
        <v>0.8078269325989178</v>
      </c>
      <c r="W417" s="196">
        <f t="shared" si="1846"/>
        <v>0.83196703119679749</v>
      </c>
      <c r="X417" s="196">
        <f t="shared" si="1846"/>
        <v>0.80132020716938424</v>
      </c>
      <c r="Y417" s="196">
        <f t="shared" ref="Y417:AI417" si="1860">+IFERROR(Y406/Y384,"n/a")</f>
        <v>0.8139293654425056</v>
      </c>
      <c r="Z417" s="196">
        <f t="shared" si="1860"/>
        <v>0.86533992814038174</v>
      </c>
      <c r="AA417" s="196">
        <f t="shared" si="1860"/>
        <v>0.8650016991614683</v>
      </c>
      <c r="AB417" s="196">
        <f t="shared" si="1860"/>
        <v>0.85489948852744202</v>
      </c>
      <c r="AC417" s="196">
        <f t="shared" si="1860"/>
        <v>0.86527529492880517</v>
      </c>
      <c r="AD417" s="196">
        <f t="shared" si="1860"/>
        <v>0.86943412559451105</v>
      </c>
      <c r="AE417" s="196">
        <f t="shared" si="1860"/>
        <v>0.86498682155398088</v>
      </c>
      <c r="AF417" s="196">
        <f t="shared" ref="AF417" si="1861">+IFERROR(AF406/AF384,"n/a")</f>
        <v>0.86281963618118829</v>
      </c>
      <c r="AG417" s="196">
        <f t="shared" si="1860"/>
        <v>0.84755096075407232</v>
      </c>
      <c r="AH417" s="196">
        <f t="shared" ref="AH417" si="1862">+IFERROR(AH406/AH384,"n/a")</f>
        <v>0.85506720059044605</v>
      </c>
      <c r="AI417" s="196">
        <f t="shared" si="1860"/>
        <v>0.86517142339329267</v>
      </c>
      <c r="AJ417" s="196">
        <f t="shared" ref="AJ417:AM417" si="1863">+IFERROR(AJ406/AJ384,"n/a")</f>
        <v>0.86387761718394618</v>
      </c>
      <c r="AK417" s="196">
        <f t="shared" si="1863"/>
        <v>0.84824966635501142</v>
      </c>
      <c r="AL417" s="196">
        <f t="shared" si="1863"/>
        <v>0.84890955454853601</v>
      </c>
      <c r="AM417" s="196">
        <f t="shared" si="1863"/>
        <v>0.85536853947495473</v>
      </c>
      <c r="AO417" s="196">
        <f t="shared" ref="AO417:AP423" si="1864">+IFERROR(AO406/AO384,"n/a")</f>
        <v>-1.5065249813571959</v>
      </c>
      <c r="AP417" s="196">
        <f t="shared" si="1864"/>
        <v>0.58714728805974181</v>
      </c>
      <c r="AQ417" s="196">
        <f t="shared" si="1857"/>
        <v>0.7788290234977312</v>
      </c>
      <c r="AR417" s="196">
        <f t="shared" si="1852"/>
        <v>0.79049277142113794</v>
      </c>
      <c r="AS417" s="196">
        <f t="shared" si="1852"/>
        <v>0.79222306518901486</v>
      </c>
      <c r="AT417" s="196">
        <f t="shared" si="1852"/>
        <v>0.8124183050231224</v>
      </c>
      <c r="AU417" s="196">
        <f t="shared" si="1852"/>
        <v>0.84135344369228193</v>
      </c>
      <c r="AV417" s="196">
        <f t="shared" si="1852"/>
        <v>0.86437996278264206</v>
      </c>
      <c r="AW417" s="196">
        <f t="shared" si="1852"/>
        <v>0.85770525975628209</v>
      </c>
      <c r="AX417" s="196">
        <f t="shared" ref="AX417" si="1865">+IFERROR(AX406/AX384,"n/a")</f>
        <v>0.85379314845404108</v>
      </c>
    </row>
    <row r="418" spans="2:50" ht="13.5" x14ac:dyDescent="0.35">
      <c r="B418" s="20" t="s">
        <v>441</v>
      </c>
      <c r="H418" s="198" t="str">
        <f t="shared" si="1859"/>
        <v>n/a</v>
      </c>
      <c r="I418" s="198" t="str">
        <f t="shared" si="1846"/>
        <v>n/a</v>
      </c>
      <c r="J418" s="198" t="str">
        <f t="shared" si="1846"/>
        <v>n/a</v>
      </c>
      <c r="K418" s="198" t="str">
        <f t="shared" si="1846"/>
        <v>n/a</v>
      </c>
      <c r="L418" s="198" t="str">
        <f t="shared" si="1846"/>
        <v>n/a</v>
      </c>
      <c r="M418" s="198" t="str">
        <f t="shared" si="1846"/>
        <v>n/a</v>
      </c>
      <c r="N418" s="198" t="str">
        <f t="shared" si="1846"/>
        <v>n/a</v>
      </c>
      <c r="O418" s="198" t="str">
        <f t="shared" si="1846"/>
        <v>n/a</v>
      </c>
      <c r="P418" s="198" t="str">
        <f t="shared" si="1846"/>
        <v>n/a</v>
      </c>
      <c r="Q418" s="198" t="str">
        <f t="shared" si="1846"/>
        <v>n/a</v>
      </c>
      <c r="R418" s="205">
        <v>0.3</v>
      </c>
      <c r="S418" s="205">
        <v>0.3</v>
      </c>
      <c r="T418" s="205">
        <v>0.3</v>
      </c>
      <c r="U418" s="205">
        <v>0.3</v>
      </c>
      <c r="V418" s="205">
        <v>0.3</v>
      </c>
      <c r="W418" s="205">
        <v>0.3</v>
      </c>
      <c r="X418" s="205">
        <v>0.3</v>
      </c>
      <c r="Y418" s="205">
        <v>0.3</v>
      </c>
      <c r="Z418" s="205">
        <v>0.3</v>
      </c>
      <c r="AA418" s="205">
        <v>0.3</v>
      </c>
      <c r="AB418" s="198" t="str">
        <f t="shared" ref="AB418:AI418" si="1866">+IFERROR(AB407/AB385,"n/a")</f>
        <v>n/a</v>
      </c>
      <c r="AC418" s="198" t="str">
        <f t="shared" si="1866"/>
        <v>n/a</v>
      </c>
      <c r="AD418" s="198" t="str">
        <f t="shared" si="1866"/>
        <v>n/a</v>
      </c>
      <c r="AE418" s="198" t="str">
        <f t="shared" si="1866"/>
        <v>n/a</v>
      </c>
      <c r="AF418" s="198" t="str">
        <f t="shared" ref="AF418" si="1867">+IFERROR(AF407/AF385,"n/a")</f>
        <v>n/a</v>
      </c>
      <c r="AG418" s="198" t="str">
        <f t="shared" si="1866"/>
        <v>n/a</v>
      </c>
      <c r="AH418" s="198" t="str">
        <f t="shared" ref="AH418" si="1868">+IFERROR(AH407/AH385,"n/a")</f>
        <v>n/a</v>
      </c>
      <c r="AI418" s="198" t="str">
        <f t="shared" si="1866"/>
        <v>n/a</v>
      </c>
      <c r="AJ418" s="198" t="str">
        <f t="shared" ref="AJ418:AM418" si="1869">+IFERROR(AJ407/AJ385,"n/a")</f>
        <v>n/a</v>
      </c>
      <c r="AK418" s="198" t="str">
        <f t="shared" si="1869"/>
        <v>n/a</v>
      </c>
      <c r="AL418" s="198" t="str">
        <f t="shared" si="1869"/>
        <v>n/a</v>
      </c>
      <c r="AM418" s="198" t="str">
        <f t="shared" si="1869"/>
        <v>n/a</v>
      </c>
      <c r="AO418" s="198">
        <f t="shared" si="1864"/>
        <v>0</v>
      </c>
      <c r="AP418" s="198">
        <f t="shared" si="1864"/>
        <v>0</v>
      </c>
      <c r="AQ418" s="198" t="str">
        <f t="shared" si="1857"/>
        <v>n/a</v>
      </c>
      <c r="AR418" s="198" t="str">
        <f t="shared" ref="AR418:AW418" si="1870">+IFERROR(AR407/AR385,"n/a")</f>
        <v>n/a</v>
      </c>
      <c r="AS418" s="198">
        <f t="shared" si="1870"/>
        <v>0.3</v>
      </c>
      <c r="AT418" s="198">
        <f t="shared" si="1870"/>
        <v>0.3</v>
      </c>
      <c r="AU418" s="198">
        <f t="shared" si="1870"/>
        <v>0.3</v>
      </c>
      <c r="AV418" s="198" t="str">
        <f t="shared" si="1870"/>
        <v>n/a</v>
      </c>
      <c r="AW418" s="198" t="str">
        <f t="shared" si="1870"/>
        <v>n/a</v>
      </c>
      <c r="AX418" s="198" t="str">
        <f t="shared" ref="AX418" si="1871">+IFERROR(AX407/AX385,"n/a")</f>
        <v>n/a</v>
      </c>
    </row>
    <row r="419" spans="2:50" x14ac:dyDescent="0.2">
      <c r="B419" s="30" t="s">
        <v>442</v>
      </c>
      <c r="H419" s="196">
        <f t="shared" si="1859"/>
        <v>0.77004255368321906</v>
      </c>
      <c r="I419" s="196">
        <f t="shared" si="1846"/>
        <v>0.85702752924830372</v>
      </c>
      <c r="J419" s="196">
        <f t="shared" si="1846"/>
        <v>0.77045401845204253</v>
      </c>
      <c r="K419" s="196">
        <f t="shared" si="1846"/>
        <v>0.74850784994911501</v>
      </c>
      <c r="L419" s="196">
        <f t="shared" ref="L419:AI419" si="1872">+IFERROR(L408/L386,"n/a")</f>
        <v>0.80880220117732893</v>
      </c>
      <c r="M419" s="196">
        <f t="shared" si="1872"/>
        <v>0.78175908723282606</v>
      </c>
      <c r="N419" s="196">
        <f t="shared" si="1872"/>
        <v>0.7571515001168494</v>
      </c>
      <c r="O419" s="196">
        <f t="shared" si="1872"/>
        <v>0.81189358462356953</v>
      </c>
      <c r="P419" s="196">
        <f t="shared" si="1872"/>
        <v>0.72148240827670262</v>
      </c>
      <c r="Q419" s="196">
        <f t="shared" si="1872"/>
        <v>0.78245309007435626</v>
      </c>
      <c r="R419" s="196">
        <f t="shared" si="1872"/>
        <v>0.77088100295979212</v>
      </c>
      <c r="S419" s="196">
        <f t="shared" si="1872"/>
        <v>0.71731769994850247</v>
      </c>
      <c r="T419" s="196">
        <f t="shared" si="1872"/>
        <v>0.67006804137343978</v>
      </c>
      <c r="U419" s="196">
        <f t="shared" si="1872"/>
        <v>0.7609935823072902</v>
      </c>
      <c r="V419" s="196">
        <f t="shared" si="1872"/>
        <v>0.80557019438387278</v>
      </c>
      <c r="W419" s="196">
        <f t="shared" si="1872"/>
        <v>0.83013473546642524</v>
      </c>
      <c r="X419" s="196">
        <f t="shared" si="1872"/>
        <v>0.80023082213023033</v>
      </c>
      <c r="Y419" s="196">
        <f t="shared" si="1872"/>
        <v>0.81298040431546814</v>
      </c>
      <c r="Z419" s="196">
        <f t="shared" si="1872"/>
        <v>0.86431347240410894</v>
      </c>
      <c r="AA419" s="196">
        <f t="shared" si="1872"/>
        <v>0.86404819400952948</v>
      </c>
      <c r="AB419" s="196">
        <f t="shared" si="1872"/>
        <v>0.85489948852744202</v>
      </c>
      <c r="AC419" s="196">
        <f t="shared" si="1872"/>
        <v>0.86527529492880517</v>
      </c>
      <c r="AD419" s="196">
        <f t="shared" si="1872"/>
        <v>0.86943412559451105</v>
      </c>
      <c r="AE419" s="196">
        <f t="shared" si="1872"/>
        <v>0.86498682155398088</v>
      </c>
      <c r="AF419" s="196">
        <f t="shared" ref="AF419" si="1873">+IFERROR(AF408/AF386,"n/a")</f>
        <v>0.86281963618118829</v>
      </c>
      <c r="AG419" s="196">
        <f t="shared" si="1872"/>
        <v>0.84755096075407232</v>
      </c>
      <c r="AH419" s="196">
        <f t="shared" ref="AH419" si="1874">+IFERROR(AH408/AH386,"n/a")</f>
        <v>0.85506720059044605</v>
      </c>
      <c r="AI419" s="196">
        <f t="shared" si="1872"/>
        <v>0.86517142339329267</v>
      </c>
      <c r="AJ419" s="196">
        <f t="shared" ref="AJ419:AM419" si="1875">+IFERROR(AJ408/AJ386,"n/a")</f>
        <v>0.86387761718394618</v>
      </c>
      <c r="AK419" s="196">
        <f t="shared" si="1875"/>
        <v>0.84824966635501142</v>
      </c>
      <c r="AL419" s="196">
        <f t="shared" si="1875"/>
        <v>0.84890955454853601</v>
      </c>
      <c r="AM419" s="196">
        <f t="shared" si="1875"/>
        <v>0.85536853947495473</v>
      </c>
      <c r="AO419" s="196">
        <f t="shared" si="1864"/>
        <v>-0.14405661722760979</v>
      </c>
      <c r="AP419" s="196">
        <f t="shared" si="1864"/>
        <v>0.5860077198470709</v>
      </c>
      <c r="AQ419" s="196">
        <f t="shared" si="1857"/>
        <v>0.7788290234977312</v>
      </c>
      <c r="AR419" s="196">
        <f t="shared" ref="AR419:AW419" si="1876">+IFERROR(AR408/AR386,"n/a")</f>
        <v>0.79049277142113794</v>
      </c>
      <c r="AS419" s="196">
        <f t="shared" si="1876"/>
        <v>0.74417892569877342</v>
      </c>
      <c r="AT419" s="196">
        <f t="shared" si="1876"/>
        <v>0.76805611480281477</v>
      </c>
      <c r="AU419" s="196">
        <f t="shared" si="1876"/>
        <v>0.84035310787777429</v>
      </c>
      <c r="AV419" s="196">
        <f t="shared" si="1876"/>
        <v>0.86437996278264206</v>
      </c>
      <c r="AW419" s="196">
        <f t="shared" si="1876"/>
        <v>0.85770525975628209</v>
      </c>
      <c r="AX419" s="196">
        <f t="shared" ref="AX419" si="1877">+IFERROR(AX408/AX386,"n/a")</f>
        <v>0.85379314845404108</v>
      </c>
    </row>
    <row r="420" spans="2:50" ht="13.5" x14ac:dyDescent="0.35">
      <c r="B420" s="20" t="s">
        <v>443</v>
      </c>
      <c r="H420" s="198" t="str">
        <f t="shared" si="1859"/>
        <v>n/a</v>
      </c>
      <c r="I420" s="198" t="str">
        <f t="shared" si="1846"/>
        <v>n/a</v>
      </c>
      <c r="J420" s="198" t="str">
        <f t="shared" si="1846"/>
        <v>n/a</v>
      </c>
      <c r="K420" s="198" t="str">
        <f t="shared" si="1846"/>
        <v>n/a</v>
      </c>
      <c r="L420" s="198" t="str">
        <f t="shared" ref="L420:R420" si="1878">+IFERROR(L409/L387,"n/a")</f>
        <v>n/a</v>
      </c>
      <c r="M420" s="198" t="str">
        <f t="shared" si="1878"/>
        <v>n/a</v>
      </c>
      <c r="N420" s="198" t="str">
        <f t="shared" si="1878"/>
        <v>n/a</v>
      </c>
      <c r="O420" s="198" t="str">
        <f t="shared" si="1878"/>
        <v>n/a</v>
      </c>
      <c r="P420" s="198" t="str">
        <f t="shared" si="1878"/>
        <v>n/a</v>
      </c>
      <c r="Q420" s="198" t="str">
        <f t="shared" si="1878"/>
        <v>n/a</v>
      </c>
      <c r="R420" s="198" t="str">
        <f t="shared" si="1878"/>
        <v>n/a</v>
      </c>
      <c r="S420" s="198">
        <f t="shared" ref="S420:Y420" si="1879">+IFERROR(S409/S387,"n/a")</f>
        <v>-6.2601501227746992</v>
      </c>
      <c r="T420" s="198">
        <f t="shared" si="1879"/>
        <v>-1.5015550066682326</v>
      </c>
      <c r="U420" s="198">
        <f t="shared" si="1879"/>
        <v>-0.35928102814135143</v>
      </c>
      <c r="V420" s="198">
        <f t="shared" si="1879"/>
        <v>2.3384856435523238E-2</v>
      </c>
      <c r="W420" s="198">
        <f t="shared" si="1879"/>
        <v>0.29472542251409584</v>
      </c>
      <c r="X420" s="198">
        <f t="shared" si="1879"/>
        <v>0.13643302114442654</v>
      </c>
      <c r="Y420" s="198">
        <f t="shared" si="1879"/>
        <v>0.29115279332188909</v>
      </c>
      <c r="Z420" s="205">
        <v>0.3</v>
      </c>
      <c r="AA420" s="205">
        <v>0.3</v>
      </c>
      <c r="AB420" s="205">
        <v>0.3</v>
      </c>
      <c r="AC420" s="205">
        <v>0.3</v>
      </c>
      <c r="AD420" s="205">
        <v>0.3</v>
      </c>
      <c r="AE420" s="205">
        <v>0.3</v>
      </c>
      <c r="AF420" s="205">
        <v>0.3</v>
      </c>
      <c r="AG420" s="205">
        <v>0.3</v>
      </c>
      <c r="AH420" s="205">
        <v>0.3</v>
      </c>
      <c r="AI420" s="205">
        <v>0.3</v>
      </c>
      <c r="AJ420" s="205">
        <v>0.3</v>
      </c>
      <c r="AK420" s="205">
        <v>0.3</v>
      </c>
      <c r="AL420" s="205">
        <v>0.3</v>
      </c>
      <c r="AM420" s="205">
        <v>0.3</v>
      </c>
      <c r="AO420" s="198" t="str">
        <f t="shared" si="1864"/>
        <v>n/a</v>
      </c>
      <c r="AP420" s="198" t="str">
        <f t="shared" si="1864"/>
        <v>n/a</v>
      </c>
      <c r="AQ420" s="198" t="str">
        <f t="shared" si="1857"/>
        <v>n/a</v>
      </c>
      <c r="AR420" s="198" t="str">
        <f t="shared" ref="AR420:AW420" si="1880">+IFERROR(AR409/AR387,"n/a")</f>
        <v>n/a</v>
      </c>
      <c r="AS420" s="198">
        <f t="shared" si="1880"/>
        <v>-6.2601501227746992</v>
      </c>
      <c r="AT420" s="198">
        <f t="shared" si="1880"/>
        <v>-0.19765276489657177</v>
      </c>
      <c r="AU420" s="198">
        <f t="shared" si="1880"/>
        <v>0.26302079226507397</v>
      </c>
      <c r="AV420" s="198">
        <f t="shared" si="1880"/>
        <v>0.3</v>
      </c>
      <c r="AW420" s="198">
        <f t="shared" si="1880"/>
        <v>0.3</v>
      </c>
      <c r="AX420" s="198">
        <f t="shared" ref="AX420" si="1881">+IFERROR(AX409/AX387,"n/a")</f>
        <v>0.3</v>
      </c>
    </row>
    <row r="421" spans="2:50" x14ac:dyDescent="0.2">
      <c r="B421" s="30" t="s">
        <v>409</v>
      </c>
      <c r="H421" s="196">
        <f t="shared" si="1859"/>
        <v>0.77004255368321906</v>
      </c>
      <c r="I421" s="196">
        <f t="shared" si="1846"/>
        <v>0.85702752924830372</v>
      </c>
      <c r="J421" s="196">
        <f t="shared" si="1846"/>
        <v>0.77045401845204253</v>
      </c>
      <c r="K421" s="196">
        <f t="shared" si="1846"/>
        <v>0.74850784994911501</v>
      </c>
      <c r="L421" s="196">
        <f t="shared" ref="L421:R421" si="1882">+IFERROR(L410/L388,"n/a")</f>
        <v>0.80880220117732893</v>
      </c>
      <c r="M421" s="196">
        <f t="shared" si="1882"/>
        <v>0.78175908723282606</v>
      </c>
      <c r="N421" s="196">
        <f t="shared" si="1882"/>
        <v>0.7571515001168494</v>
      </c>
      <c r="O421" s="196">
        <f t="shared" si="1882"/>
        <v>0.81189358462356953</v>
      </c>
      <c r="P421" s="196">
        <f t="shared" si="1882"/>
        <v>0.72148240827670262</v>
      </c>
      <c r="Q421" s="196">
        <f t="shared" si="1882"/>
        <v>0.78245309007435626</v>
      </c>
      <c r="R421" s="196">
        <f t="shared" si="1882"/>
        <v>0.77088100295979212</v>
      </c>
      <c r="S421" s="196">
        <f t="shared" ref="S421:AI421" si="1883">+IFERROR(S410/S388,"n/a")</f>
        <v>0.56620735145168288</v>
      </c>
      <c r="T421" s="196">
        <f t="shared" si="1883"/>
        <v>0.5154221127446581</v>
      </c>
      <c r="U421" s="196">
        <f t="shared" si="1883"/>
        <v>0.65762524179670245</v>
      </c>
      <c r="V421" s="196">
        <f t="shared" si="1883"/>
        <v>0.69545091133267656</v>
      </c>
      <c r="W421" s="196">
        <f t="shared" si="1883"/>
        <v>0.76094109690688472</v>
      </c>
      <c r="X421" s="196">
        <f t="shared" si="1883"/>
        <v>0.69948274939627897</v>
      </c>
      <c r="Y421" s="196">
        <f t="shared" si="1883"/>
        <v>0.74697880708793452</v>
      </c>
      <c r="Z421" s="196">
        <f t="shared" si="1883"/>
        <v>0.79378950018500616</v>
      </c>
      <c r="AA421" s="196">
        <f t="shared" si="1883"/>
        <v>0.79387293855407437</v>
      </c>
      <c r="AB421" s="196">
        <f t="shared" si="1883"/>
        <v>0.77181192294276413</v>
      </c>
      <c r="AC421" s="196">
        <f t="shared" si="1883"/>
        <v>0.7973469844872294</v>
      </c>
      <c r="AD421" s="196">
        <f t="shared" si="1883"/>
        <v>0.7973628595062876</v>
      </c>
      <c r="AE421" s="196">
        <f t="shared" si="1883"/>
        <v>0.80686685909713951</v>
      </c>
      <c r="AF421" s="196">
        <f t="shared" ref="AF421" si="1884">+IFERROR(AF410/AF388,"n/a")</f>
        <v>0.7985208817248669</v>
      </c>
      <c r="AG421" s="196">
        <f t="shared" si="1883"/>
        <v>0.78711306550716487</v>
      </c>
      <c r="AH421" s="196">
        <f t="shared" ref="AH421" si="1885">+IFERROR(AH410/AH388,"n/a")</f>
        <v>0.79037558694466192</v>
      </c>
      <c r="AI421" s="196">
        <f t="shared" si="1883"/>
        <v>0.80622084302322239</v>
      </c>
      <c r="AJ421" s="196">
        <f t="shared" ref="AJ421:AM421" si="1886">+IFERROR(AJ410/AJ388,"n/a")</f>
        <v>0.79672038863090389</v>
      </c>
      <c r="AK421" s="196">
        <f t="shared" si="1886"/>
        <v>0.78522016160230168</v>
      </c>
      <c r="AL421" s="196">
        <f t="shared" si="1886"/>
        <v>0.78690206713514588</v>
      </c>
      <c r="AM421" s="196">
        <f t="shared" si="1886"/>
        <v>0.80008464713598448</v>
      </c>
      <c r="AO421" s="196">
        <f t="shared" si="1864"/>
        <v>-0.14405661722760979</v>
      </c>
      <c r="AP421" s="196">
        <f t="shared" si="1864"/>
        <v>0.5860077198470709</v>
      </c>
      <c r="AQ421" s="196">
        <f t="shared" si="1857"/>
        <v>0.7788290234977312</v>
      </c>
      <c r="AR421" s="196">
        <f t="shared" ref="AR421:AW421" si="1887">+IFERROR(AR410/AR388,"n/a")</f>
        <v>0.79049277142113794</v>
      </c>
      <c r="AS421" s="196">
        <f t="shared" si="1887"/>
        <v>0.67648770130168223</v>
      </c>
      <c r="AT421" s="196">
        <f t="shared" si="1887"/>
        <v>0.66267706677276284</v>
      </c>
      <c r="AU421" s="196">
        <f t="shared" si="1887"/>
        <v>0.76525998263562389</v>
      </c>
      <c r="AV421" s="196">
        <f t="shared" si="1887"/>
        <v>0.79566412122155816</v>
      </c>
      <c r="AW421" s="196">
        <f t="shared" si="1887"/>
        <v>0.79574767587350204</v>
      </c>
      <c r="AX421" s="196">
        <f t="shared" ref="AX421" si="1888">+IFERROR(AX410/AX388,"n/a")</f>
        <v>0.79239730111582618</v>
      </c>
    </row>
    <row r="422" spans="2:50" ht="13.5" x14ac:dyDescent="0.35">
      <c r="B422" s="20" t="s">
        <v>411</v>
      </c>
      <c r="H422" s="198" t="str">
        <f t="shared" si="1859"/>
        <v>n/a</v>
      </c>
      <c r="I422" s="198" t="str">
        <f t="shared" si="1846"/>
        <v>n/a</v>
      </c>
      <c r="J422" s="198" t="str">
        <f t="shared" si="1846"/>
        <v>n/a</v>
      </c>
      <c r="K422" s="198" t="str">
        <f t="shared" si="1846"/>
        <v>n/a</v>
      </c>
      <c r="L422" s="198" t="str">
        <f t="shared" si="1846"/>
        <v>n/a</v>
      </c>
      <c r="M422" s="198" t="str">
        <f t="shared" si="1846"/>
        <v>n/a</v>
      </c>
      <c r="N422" s="198" t="str">
        <f t="shared" si="1846"/>
        <v>n/a</v>
      </c>
      <c r="O422" s="198" t="str">
        <f t="shared" si="1846"/>
        <v>n/a</v>
      </c>
      <c r="P422" s="198" t="str">
        <f t="shared" si="1846"/>
        <v>n/a</v>
      </c>
      <c r="Q422" s="198" t="str">
        <f t="shared" si="1846"/>
        <v>n/a</v>
      </c>
      <c r="R422" s="198" t="str">
        <f t="shared" si="1846"/>
        <v>n/a</v>
      </c>
      <c r="S422" s="198" t="str">
        <f t="shared" ref="S422:Y422" si="1889">+IFERROR(S411/S389,"n/a")</f>
        <v>n/a</v>
      </c>
      <c r="T422" s="198" t="str">
        <f t="shared" si="1889"/>
        <v>n/a</v>
      </c>
      <c r="U422" s="198" t="str">
        <f t="shared" si="1889"/>
        <v>n/a</v>
      </c>
      <c r="V422" s="198" t="str">
        <f t="shared" si="1889"/>
        <v>n/a</v>
      </c>
      <c r="W422" s="198" t="str">
        <f t="shared" si="1889"/>
        <v>n/a</v>
      </c>
      <c r="X422" s="198" t="str">
        <f t="shared" si="1889"/>
        <v>n/a</v>
      </c>
      <c r="Y422" s="198" t="str">
        <f t="shared" si="1889"/>
        <v>n/a</v>
      </c>
      <c r="Z422" s="198" t="str">
        <f t="shared" ref="Z422:AE422" si="1890">+IFERROR(Z411/Z389,"n/a")</f>
        <v>n/a</v>
      </c>
      <c r="AA422" s="198">
        <f t="shared" si="1890"/>
        <v>-0.83031152683621978</v>
      </c>
      <c r="AB422" s="198">
        <f t="shared" si="1890"/>
        <v>-0.95385564844766735</v>
      </c>
      <c r="AC422" s="198">
        <f t="shared" si="1890"/>
        <v>-1.0038168659329503</v>
      </c>
      <c r="AD422" s="198">
        <f t="shared" si="1890"/>
        <v>0.11957429865723393</v>
      </c>
      <c r="AE422" s="198">
        <f t="shared" si="1890"/>
        <v>0.13452694080894834</v>
      </c>
      <c r="AF422" s="198">
        <f t="shared" ref="AF422:AM422" si="1891">+IFERROR(AF411/AF389,"n/a")</f>
        <v>0.33364836907308854</v>
      </c>
      <c r="AG422" s="198">
        <f t="shared" si="1891"/>
        <v>0.42185534213723497</v>
      </c>
      <c r="AH422" s="198">
        <f t="shared" ref="AH422" si="1892">+IFERROR(AH411/AH389,"n/a")</f>
        <v>0.30022431509323105</v>
      </c>
      <c r="AI422" s="205">
        <v>0.32</v>
      </c>
      <c r="AJ422" s="198">
        <f t="shared" si="1891"/>
        <v>0.31075487469661822</v>
      </c>
      <c r="AK422" s="198">
        <f t="shared" si="1891"/>
        <v>0.31757490372874986</v>
      </c>
      <c r="AL422" s="198">
        <f t="shared" si="1891"/>
        <v>0.31997676271180542</v>
      </c>
      <c r="AM422" s="198">
        <f t="shared" si="1891"/>
        <v>0.32270614791982316</v>
      </c>
      <c r="AO422" s="198" t="str">
        <f t="shared" si="1864"/>
        <v>n/a</v>
      </c>
      <c r="AP422" s="198" t="str">
        <f t="shared" si="1864"/>
        <v>n/a</v>
      </c>
      <c r="AQ422" s="198" t="str">
        <f t="shared" si="1857"/>
        <v>n/a</v>
      </c>
      <c r="AR422" s="198" t="str">
        <f t="shared" ref="AR422:AW422" si="1893">+IFERROR(AR411/AR389,"n/a")</f>
        <v>n/a</v>
      </c>
      <c r="AS422" s="198" t="str">
        <f t="shared" si="1893"/>
        <v>n/a</v>
      </c>
      <c r="AT422" s="198" t="str">
        <f t="shared" si="1893"/>
        <v>n/a</v>
      </c>
      <c r="AU422" s="198">
        <f t="shared" si="1893"/>
        <v>-1.0300328724577474</v>
      </c>
      <c r="AV422" s="198">
        <f t="shared" si="1893"/>
        <v>-6.561697573195124E-4</v>
      </c>
      <c r="AW422" s="198">
        <f t="shared" si="1893"/>
        <v>0.34222327219355408</v>
      </c>
      <c r="AX422" s="198">
        <f t="shared" ref="AX422" si="1894">+IFERROR(AX411/AX389,"n/a")</f>
        <v>0.31832109801355923</v>
      </c>
    </row>
    <row r="423" spans="2:50" x14ac:dyDescent="0.2">
      <c r="B423" s="30" t="s">
        <v>412</v>
      </c>
      <c r="H423" s="196">
        <f t="shared" si="1859"/>
        <v>0.77004255368321906</v>
      </c>
      <c r="I423" s="196">
        <f t="shared" si="1846"/>
        <v>0.85702752924830372</v>
      </c>
      <c r="J423" s="196">
        <f t="shared" si="1846"/>
        <v>0.77045401845204253</v>
      </c>
      <c r="K423" s="196">
        <f t="shared" si="1846"/>
        <v>0.74850784994911501</v>
      </c>
      <c r="L423" s="196">
        <f t="shared" si="1846"/>
        <v>0.80880220117732893</v>
      </c>
      <c r="M423" s="196">
        <f t="shared" si="1846"/>
        <v>0.78175908723282606</v>
      </c>
      <c r="N423" s="196">
        <f t="shared" si="1846"/>
        <v>0.7571515001168494</v>
      </c>
      <c r="O423" s="196">
        <f t="shared" si="1846"/>
        <v>0.81189358462356953</v>
      </c>
      <c r="P423" s="196">
        <f t="shared" si="1846"/>
        <v>0.72148240827670262</v>
      </c>
      <c r="Q423" s="196">
        <f t="shared" si="1846"/>
        <v>0.78245309007435626</v>
      </c>
      <c r="R423" s="196">
        <f t="shared" si="1846"/>
        <v>0.77088100295979212</v>
      </c>
      <c r="S423" s="196">
        <f t="shared" ref="S423:Y423" si="1895">+IFERROR(S412/S390,"n/a")</f>
        <v>0.56620735145168288</v>
      </c>
      <c r="T423" s="196">
        <f t="shared" si="1895"/>
        <v>0.5154221127446581</v>
      </c>
      <c r="U423" s="196">
        <f t="shared" si="1895"/>
        <v>0.65762524179670245</v>
      </c>
      <c r="V423" s="196">
        <f t="shared" si="1895"/>
        <v>0.69545091133267656</v>
      </c>
      <c r="W423" s="196">
        <f t="shared" si="1895"/>
        <v>0.76094109690688472</v>
      </c>
      <c r="X423" s="196">
        <f t="shared" si="1895"/>
        <v>0.69948274939627897</v>
      </c>
      <c r="Y423" s="196">
        <f t="shared" si="1895"/>
        <v>0.74697880708793452</v>
      </c>
      <c r="Z423" s="196">
        <f t="shared" ref="Z423:AI423" si="1896">+IFERROR(Z412/Z390,"n/a")</f>
        <v>0.79134104417312323</v>
      </c>
      <c r="AA423" s="196">
        <f t="shared" si="1896"/>
        <v>0.77611949444133987</v>
      </c>
      <c r="AB423" s="196">
        <f t="shared" si="1896"/>
        <v>0.70539888221845237</v>
      </c>
      <c r="AC423" s="196">
        <f t="shared" si="1896"/>
        <v>0.643051950978207</v>
      </c>
      <c r="AD423" s="196">
        <f t="shared" si="1896"/>
        <v>0.61055103843063252</v>
      </c>
      <c r="AE423" s="196">
        <f t="shared" si="1896"/>
        <v>0.60585666440701702</v>
      </c>
      <c r="AF423" s="196">
        <f t="shared" ref="AF423:AG423" si="1897">+IFERROR(AF412/AF390,"n/a")</f>
        <v>0.62358717928807572</v>
      </c>
      <c r="AG423" s="196">
        <f t="shared" si="1897"/>
        <v>0.65319848907986178</v>
      </c>
      <c r="AH423" s="196">
        <f t="shared" ref="AH423" si="1898">+IFERROR(AH412/AH390,"n/a")</f>
        <v>0.60077773504970355</v>
      </c>
      <c r="AI423" s="196">
        <f t="shared" si="1896"/>
        <v>0.61913697800450707</v>
      </c>
      <c r="AJ423" s="196">
        <f t="shared" ref="AJ423:AM423" si="1899">+IFERROR(AJ412/AJ390,"n/a")</f>
        <v>0.60192418187637842</v>
      </c>
      <c r="AK423" s="196">
        <f t="shared" si="1899"/>
        <v>0.59064778456660438</v>
      </c>
      <c r="AL423" s="196">
        <f t="shared" si="1899"/>
        <v>0.59103381673145061</v>
      </c>
      <c r="AM423" s="196">
        <f t="shared" si="1899"/>
        <v>0.60263029508529686</v>
      </c>
      <c r="AO423" s="196">
        <f t="shared" si="1864"/>
        <v>-0.14405661722760979</v>
      </c>
      <c r="AP423" s="196">
        <f t="shared" si="1864"/>
        <v>0.5860077198470709</v>
      </c>
      <c r="AQ423" s="196">
        <f t="shared" si="1857"/>
        <v>0.77882902349773131</v>
      </c>
      <c r="AR423" s="196">
        <f t="shared" ref="AR423:AW423" si="1900">+IFERROR(AR412/AR390,"n/a")</f>
        <v>0.79049277142113805</v>
      </c>
      <c r="AS423" s="196">
        <f t="shared" si="1900"/>
        <v>0.67648770130168223</v>
      </c>
      <c r="AT423" s="196">
        <f t="shared" si="1900"/>
        <v>0.66267706677276284</v>
      </c>
      <c r="AU423" s="196">
        <f t="shared" si="1900"/>
        <v>0.75927473660684708</v>
      </c>
      <c r="AV423" s="196">
        <f t="shared" si="1900"/>
        <v>0.63014294525779957</v>
      </c>
      <c r="AW423" s="196">
        <f t="shared" si="1900"/>
        <v>0.62388964009050918</v>
      </c>
      <c r="AX423" s="196">
        <f t="shared" ref="AX423" si="1901">+IFERROR(AX412/AX390,"n/a")</f>
        <v>0.59656548168220958</v>
      </c>
    </row>
    <row r="424" spans="2:50" x14ac:dyDescent="0.2">
      <c r="B424" s="38"/>
    </row>
    <row r="425" spans="2:50" x14ac:dyDescent="0.2">
      <c r="B425" s="19" t="s">
        <v>413</v>
      </c>
    </row>
    <row r="426" spans="2:50" x14ac:dyDescent="0.2">
      <c r="B426" s="20" t="s">
        <v>225</v>
      </c>
      <c r="L426" s="196">
        <f>IFERROR((L404-H404)/(L382-H382),"n/a")</f>
        <v>0.83996586292923958</v>
      </c>
      <c r="M426" s="196">
        <f t="shared" ref="M426" si="1902">IFERROR((M404-I404)/(M382-I382),"n/a")</f>
        <v>0.74165638661553202</v>
      </c>
      <c r="N426" s="196">
        <f t="shared" ref="N426" si="1903">IFERROR((N404-J404)/(N382-J382),"n/a")</f>
        <v>0.75132916455953602</v>
      </c>
      <c r="O426" s="196">
        <f t="shared" ref="O426" si="1904">IFERROR((O404-K404)/(O382-K382),"n/a")</f>
        <v>0.90184091891544726</v>
      </c>
      <c r="P426" s="196">
        <f t="shared" ref="P426" si="1905">IFERROR((P404-L404)/(P382-L382),"n/a")</f>
        <v>0.47069720232975071</v>
      </c>
      <c r="Q426" s="196">
        <f t="shared" ref="Q426" si="1906">IFERROR((Q404-M404)/(Q382-M382),"n/a")</f>
        <v>0.78922963406991653</v>
      </c>
      <c r="R426" s="196">
        <f t="shared" ref="R426" si="1907">IFERROR((R404-N404)/(R382-N382),"n/a")</f>
        <v>0.82729092363729317</v>
      </c>
      <c r="S426" s="197">
        <v>0.85</v>
      </c>
      <c r="T426" s="197">
        <v>0.85</v>
      </c>
      <c r="U426" s="197">
        <v>0.85</v>
      </c>
      <c r="V426" s="197">
        <v>0.85</v>
      </c>
      <c r="W426" s="197">
        <v>0.85</v>
      </c>
      <c r="X426" s="197">
        <v>0.85</v>
      </c>
      <c r="Y426" s="197">
        <v>0.85</v>
      </c>
      <c r="Z426" s="197">
        <v>1</v>
      </c>
      <c r="AA426" s="197">
        <v>1</v>
      </c>
      <c r="AB426" s="197">
        <v>1</v>
      </c>
      <c r="AC426" s="197">
        <v>1</v>
      </c>
      <c r="AD426" s="197">
        <v>0.9</v>
      </c>
      <c r="AE426" s="197">
        <v>0.9</v>
      </c>
      <c r="AF426" s="197">
        <v>0.9</v>
      </c>
      <c r="AG426" s="197">
        <v>0.8</v>
      </c>
      <c r="AH426" s="197">
        <v>0.8</v>
      </c>
      <c r="AI426" s="197">
        <v>0.8</v>
      </c>
      <c r="AJ426" s="197">
        <v>0.8</v>
      </c>
      <c r="AK426" s="197">
        <v>0.8</v>
      </c>
      <c r="AL426" s="197">
        <v>0.8</v>
      </c>
      <c r="AM426" s="197">
        <v>0.8</v>
      </c>
      <c r="AP426" s="196">
        <f t="shared" ref="AP426:AQ434" si="1908">IFERROR((AP404-AO404)/(AP382-AO382),"n/a")</f>
        <v>0.90531186041223055</v>
      </c>
      <c r="AQ426" s="196">
        <f t="shared" si="1908"/>
        <v>0.83001862938202842</v>
      </c>
      <c r="AR426" s="196">
        <f t="shared" ref="AR426:AX426" si="1909">IFERROR((AR404-AQ404)/(AR382-AQ382),"n/a")</f>
        <v>0.81069286797429152</v>
      </c>
      <c r="AS426" s="196">
        <f t="shared" si="1909"/>
        <v>0.80291001884661317</v>
      </c>
      <c r="AT426" s="196">
        <f t="shared" si="1909"/>
        <v>0.85000000000000042</v>
      </c>
      <c r="AU426" s="196">
        <f t="shared" si="1909"/>
        <v>0.94459689868090957</v>
      </c>
      <c r="AV426" s="196">
        <f t="shared" si="1909"/>
        <v>0.9429885288719615</v>
      </c>
      <c r="AW426" s="196">
        <f t="shared" si="1909"/>
        <v>0.83470196604325242</v>
      </c>
      <c r="AX426" s="196">
        <f t="shared" si="1909"/>
        <v>0.7999999999999996</v>
      </c>
    </row>
    <row r="427" spans="2:50" ht="13.5" x14ac:dyDescent="0.35">
      <c r="B427" s="20" t="s">
        <v>226</v>
      </c>
      <c r="L427" s="205">
        <v>0.7</v>
      </c>
      <c r="M427" s="205">
        <v>0.7</v>
      </c>
      <c r="N427" s="205">
        <v>0.7</v>
      </c>
      <c r="O427" s="205">
        <v>0.7</v>
      </c>
      <c r="P427" s="205">
        <v>0.7</v>
      </c>
      <c r="Q427" s="205">
        <v>0.7</v>
      </c>
      <c r="R427" s="205">
        <v>0.7</v>
      </c>
      <c r="S427" s="205">
        <v>0.7</v>
      </c>
      <c r="T427" s="205">
        <v>0.7</v>
      </c>
      <c r="U427" s="205">
        <v>0.7</v>
      </c>
      <c r="V427" s="205">
        <v>0.7</v>
      </c>
      <c r="W427" s="205">
        <v>0.7</v>
      </c>
      <c r="X427" s="205">
        <v>0.7</v>
      </c>
      <c r="Y427" s="205">
        <v>0.7</v>
      </c>
      <c r="Z427" s="205">
        <v>0.7</v>
      </c>
      <c r="AA427" s="205">
        <v>0.7</v>
      </c>
      <c r="AB427" s="205">
        <v>0.7</v>
      </c>
      <c r="AC427" s="205">
        <v>0.7</v>
      </c>
      <c r="AD427" s="205">
        <v>0.7</v>
      </c>
      <c r="AE427" s="205">
        <v>0.7</v>
      </c>
      <c r="AF427" s="205">
        <v>0.7</v>
      </c>
      <c r="AG427" s="205">
        <v>0.7</v>
      </c>
      <c r="AH427" s="205">
        <v>0.7</v>
      </c>
      <c r="AI427" s="205">
        <v>0.7</v>
      </c>
      <c r="AJ427" s="205">
        <v>0.7</v>
      </c>
      <c r="AK427" s="205">
        <v>0.7</v>
      </c>
      <c r="AL427" s="205">
        <v>0.7</v>
      </c>
      <c r="AM427" s="205">
        <v>0.7</v>
      </c>
      <c r="AP427" s="198">
        <f t="shared" si="1908"/>
        <v>0</v>
      </c>
      <c r="AQ427" s="198">
        <f t="shared" si="1908"/>
        <v>0.59810493765604644</v>
      </c>
      <c r="AR427" s="198">
        <f t="shared" ref="AR427:AX427" si="1910">IFERROR((AR405-AQ405)/(AR383-AQ383),"n/a")</f>
        <v>0.70000000000000007</v>
      </c>
      <c r="AS427" s="198">
        <f t="shared" si="1910"/>
        <v>0.7</v>
      </c>
      <c r="AT427" s="198">
        <f t="shared" si="1910"/>
        <v>0.69999999999999951</v>
      </c>
      <c r="AU427" s="198">
        <f t="shared" si="1910"/>
        <v>0.69999999999999984</v>
      </c>
      <c r="AV427" s="198">
        <f t="shared" si="1910"/>
        <v>0.7</v>
      </c>
      <c r="AW427" s="198">
        <f t="shared" si="1910"/>
        <v>0.70000000000000084</v>
      </c>
      <c r="AX427" s="198">
        <f t="shared" si="1910"/>
        <v>0.70000000000000129</v>
      </c>
    </row>
    <row r="428" spans="2:50" x14ac:dyDescent="0.2">
      <c r="B428" s="30" t="s">
        <v>440</v>
      </c>
      <c r="L428" s="196">
        <f t="shared" ref="L428:L434" si="1911">IFERROR((L406-H406)/(L384-H384),"n/a")</f>
        <v>0.82578212997532119</v>
      </c>
      <c r="M428" s="196">
        <f t="shared" ref="M428:M434" si="1912">IFERROR((M406-I406)/(M384-I384),"n/a")</f>
        <v>0.73724754756751965</v>
      </c>
      <c r="N428" s="196">
        <f t="shared" ref="N428:N434" si="1913">IFERROR((N406-J406)/(N384-J384),"n/a")</f>
        <v>0.74631935540730099</v>
      </c>
      <c r="O428" s="196">
        <f t="shared" ref="O428:O434" si="1914">IFERROR((O406-K406)/(O384-K384),"n/a")</f>
        <v>0.88163315822125132</v>
      </c>
      <c r="P428" s="196">
        <f t="shared" ref="P428:P434" si="1915">IFERROR((P406-L406)/(P384-L384),"n/a")</f>
        <v>0.52262714475750993</v>
      </c>
      <c r="Q428" s="196">
        <f t="shared" ref="Q428:Q434" si="1916">IFERROR((Q406-M406)/(Q384-M384),"n/a")</f>
        <v>0.78348490110857827</v>
      </c>
      <c r="R428" s="196">
        <f t="shared" ref="R428:R434" si="1917">IFERROR((R406-N406)/(R384-N384),"n/a")</f>
        <v>0.81659489145824249</v>
      </c>
      <c r="S428" s="196">
        <f t="shared" ref="S428:S434" si="1918">IFERROR((S406-O406)/(S384-O384),"n/a")</f>
        <v>0.84103687688572815</v>
      </c>
      <c r="T428" s="196">
        <f t="shared" ref="T428:T434" si="1919">IFERROR((T406-P406)/(T384-P384),"n/a")</f>
        <v>0.84488779609196452</v>
      </c>
      <c r="U428" s="196">
        <f t="shared" ref="U428:U434" si="1920">IFERROR((U406-Q406)/(U384-Q384),"n/a")</f>
        <v>0.85570603749456731</v>
      </c>
      <c r="V428" s="196">
        <f t="shared" ref="V428:V434" si="1921">IFERROR((V406-R406)/(V384-R384),"n/a")</f>
        <v>0.87891386237800273</v>
      </c>
      <c r="W428" s="196">
        <f t="shared" ref="W428:W434" si="1922">IFERROR((W406-S406)/(W384-S384),"n/a")</f>
        <v>0.87427470334639312</v>
      </c>
      <c r="X428" s="196">
        <f t="shared" ref="X428:X434" si="1923">IFERROR((X406-T406)/(X384-T384),"n/a")</f>
        <v>0.82987207153372022</v>
      </c>
      <c r="Y428" s="196">
        <f t="shared" ref="Y428:Y434" si="1924">IFERROR((Y406-U406)/(Y384-U384),"n/a")</f>
        <v>0.82588627406306114</v>
      </c>
      <c r="Z428" s="196">
        <f t="shared" ref="Z428:Z434" si="1925">IFERROR((Z406-V406)/(Z384-V384),"n/a")</f>
        <v>0.94920998385410382</v>
      </c>
      <c r="AA428" s="196">
        <f t="shared" ref="AA428:AA434" si="1926">IFERROR((AA406-W406)/(AA384-W384),"n/a")</f>
        <v>0.93730337060334268</v>
      </c>
      <c r="AB428" s="196">
        <f t="shared" ref="AB428:AB434" si="1927">IFERROR((AB406-X406)/(AB384-X384),"n/a")</f>
        <v>0.95639249578352203</v>
      </c>
      <c r="AC428" s="196">
        <f t="shared" ref="AC428:AC434" si="1928">IFERROR((AC406-Y406)/(AC384-Y384),"n/a")</f>
        <v>0.96138057097719798</v>
      </c>
      <c r="AD428" s="196">
        <f t="shared" ref="AD428:AD434" si="1929">IFERROR((AD406-Z406)/(AD384-Z384),"n/a")</f>
        <v>0.87955536194142947</v>
      </c>
      <c r="AE428" s="196">
        <f t="shared" ref="AE428:AF434" si="1930">IFERROR((AE406-AA406)/(AE384-AA384),"n/a")</f>
        <v>0.86496296791777783</v>
      </c>
      <c r="AF428" s="196">
        <f t="shared" si="1930"/>
        <v>0.87699766180096872</v>
      </c>
      <c r="AG428" s="196">
        <f t="shared" ref="AG428:AH434" si="1931">IFERROR((AG406-AC406)/(AG384-AC384),"n/a")</f>
        <v>0.78853477037461606</v>
      </c>
      <c r="AH428" s="196">
        <f t="shared" si="1931"/>
        <v>0.79411963487379256</v>
      </c>
      <c r="AI428" s="196">
        <f t="shared" ref="AI428:AI434" si="1932">IFERROR((AI406-AE406)/(AI384-AE384),"n/a")</f>
        <v>0.86739236588383395</v>
      </c>
      <c r="AJ428" s="196">
        <f t="shared" ref="AJ428:AJ434" si="1933">IFERROR((AJ406-AF406)/(AJ384-AF384),"n/a")</f>
        <v>0.88530466249135864</v>
      </c>
      <c r="AK428" s="196">
        <f t="shared" ref="AK428:AK434" si="1934">IFERROR((AK406-AG406)/(AK384-AG384),"n/a")</f>
        <v>0.86203844186887024</v>
      </c>
      <c r="AL428" s="196">
        <f t="shared" ref="AL428:AL434" si="1935">IFERROR((AL406-AH406)/(AL384-AH384),"n/a")</f>
        <v>0.80476455743195063</v>
      </c>
      <c r="AM428" s="196">
        <f t="shared" ref="AM428:AM434" si="1936">IFERROR((AM406-AI406)/(AM384-AI384),"n/a")</f>
        <v>0.79361384402489465</v>
      </c>
      <c r="AP428" s="196">
        <f t="shared" si="1908"/>
        <v>0.64686911898086463</v>
      </c>
      <c r="AQ428" s="196">
        <f t="shared" si="1908"/>
        <v>0.80815057236829779</v>
      </c>
      <c r="AR428" s="196">
        <f t="shared" ref="AR428:AX428" si="1937">IFERROR((AR406-AQ406)/(AR384-AQ384),"n/a")</f>
        <v>0.79948285431893129</v>
      </c>
      <c r="AS428" s="196">
        <f t="shared" si="1937"/>
        <v>0.79448824441837629</v>
      </c>
      <c r="AT428" s="196">
        <f t="shared" si="1937"/>
        <v>0.85852838609609183</v>
      </c>
      <c r="AU428" s="196">
        <f t="shared" si="1937"/>
        <v>0.9018999975277795</v>
      </c>
      <c r="AV428" s="196">
        <f t="shared" si="1937"/>
        <v>0.90825894522695905</v>
      </c>
      <c r="AW428" s="196">
        <f t="shared" si="1937"/>
        <v>0.83199893350332788</v>
      </c>
      <c r="AX428" s="196">
        <f t="shared" si="1937"/>
        <v>0.81564939251695612</v>
      </c>
    </row>
    <row r="429" spans="2:50" ht="13.5" x14ac:dyDescent="0.35">
      <c r="B429" s="20" t="s">
        <v>441</v>
      </c>
      <c r="L429" s="198" t="str">
        <f t="shared" si="1911"/>
        <v>n/a</v>
      </c>
      <c r="M429" s="198" t="str">
        <f t="shared" si="1912"/>
        <v>n/a</v>
      </c>
      <c r="N429" s="198" t="str">
        <f t="shared" si="1913"/>
        <v>n/a</v>
      </c>
      <c r="O429" s="198" t="str">
        <f t="shared" si="1914"/>
        <v>n/a</v>
      </c>
      <c r="P429" s="198" t="str">
        <f t="shared" si="1915"/>
        <v>n/a</v>
      </c>
      <c r="Q429" s="198" t="str">
        <f t="shared" si="1916"/>
        <v>n/a</v>
      </c>
      <c r="R429" s="198">
        <f t="shared" si="1917"/>
        <v>0.3</v>
      </c>
      <c r="S429" s="198">
        <f t="shared" si="1918"/>
        <v>0.3</v>
      </c>
      <c r="T429" s="198">
        <f t="shared" si="1919"/>
        <v>0.3</v>
      </c>
      <c r="U429" s="198">
        <f t="shared" si="1920"/>
        <v>0.3</v>
      </c>
      <c r="V429" s="198">
        <f t="shared" si="1921"/>
        <v>0.3</v>
      </c>
      <c r="W429" s="198">
        <f t="shared" si="1922"/>
        <v>0.30000000000000004</v>
      </c>
      <c r="X429" s="198">
        <f t="shared" si="1923"/>
        <v>0.3</v>
      </c>
      <c r="Y429" s="198">
        <f t="shared" si="1924"/>
        <v>0.3</v>
      </c>
      <c r="Z429" s="198">
        <f t="shared" si="1925"/>
        <v>0.3000000000000001</v>
      </c>
      <c r="AA429" s="198">
        <f t="shared" si="1926"/>
        <v>0.3</v>
      </c>
      <c r="AB429" s="198">
        <f t="shared" si="1927"/>
        <v>0.3</v>
      </c>
      <c r="AC429" s="198">
        <f t="shared" si="1928"/>
        <v>0.3</v>
      </c>
      <c r="AD429" s="198">
        <f t="shared" si="1929"/>
        <v>0.3</v>
      </c>
      <c r="AE429" s="198">
        <f t="shared" si="1930"/>
        <v>0.3</v>
      </c>
      <c r="AF429" s="198" t="str">
        <f t="shared" si="1930"/>
        <v>n/a</v>
      </c>
      <c r="AG429" s="198" t="str">
        <f t="shared" si="1931"/>
        <v>n/a</v>
      </c>
      <c r="AH429" s="198" t="str">
        <f t="shared" si="1931"/>
        <v>n/a</v>
      </c>
      <c r="AI429" s="198" t="str">
        <f t="shared" si="1932"/>
        <v>n/a</v>
      </c>
      <c r="AJ429" s="198" t="str">
        <f t="shared" si="1933"/>
        <v>n/a</v>
      </c>
      <c r="AK429" s="198" t="str">
        <f t="shared" si="1934"/>
        <v>n/a</v>
      </c>
      <c r="AL429" s="198" t="str">
        <f t="shared" si="1935"/>
        <v>n/a</v>
      </c>
      <c r="AM429" s="198" t="str">
        <f t="shared" si="1936"/>
        <v>n/a</v>
      </c>
      <c r="AP429" s="198">
        <f t="shared" si="1908"/>
        <v>0</v>
      </c>
      <c r="AQ429" s="198">
        <f t="shared" si="1908"/>
        <v>0</v>
      </c>
      <c r="AR429" s="198" t="str">
        <f t="shared" ref="AR429:AX429" si="1938">IFERROR((AR407-AQ407)/(AR385-AQ385),"n/a")</f>
        <v>n/a</v>
      </c>
      <c r="AS429" s="198">
        <f t="shared" si="1938"/>
        <v>0.3</v>
      </c>
      <c r="AT429" s="198">
        <f t="shared" si="1938"/>
        <v>0.29999999999999993</v>
      </c>
      <c r="AU429" s="198">
        <f t="shared" si="1938"/>
        <v>0.30000000000000004</v>
      </c>
      <c r="AV429" s="198">
        <f t="shared" si="1938"/>
        <v>0.3</v>
      </c>
      <c r="AW429" s="198" t="str">
        <f t="shared" si="1938"/>
        <v>n/a</v>
      </c>
      <c r="AX429" s="198" t="str">
        <f t="shared" si="1938"/>
        <v>n/a</v>
      </c>
    </row>
    <row r="430" spans="2:50" x14ac:dyDescent="0.2">
      <c r="B430" s="30" t="s">
        <v>442</v>
      </c>
      <c r="L430" s="196">
        <f t="shared" si="1911"/>
        <v>0.82578212997532119</v>
      </c>
      <c r="M430" s="196">
        <f t="shared" si="1912"/>
        <v>0.73724754756751965</v>
      </c>
      <c r="N430" s="196">
        <f t="shared" si="1913"/>
        <v>0.74631935540730099</v>
      </c>
      <c r="O430" s="196">
        <f t="shared" si="1914"/>
        <v>0.88163315822125132</v>
      </c>
      <c r="P430" s="196">
        <f t="shared" si="1915"/>
        <v>0.52262714475750993</v>
      </c>
      <c r="Q430" s="196">
        <f t="shared" si="1916"/>
        <v>0.78348490110857827</v>
      </c>
      <c r="R430" s="196">
        <f t="shared" si="1917"/>
        <v>0.78628801132166659</v>
      </c>
      <c r="S430" s="196">
        <f t="shared" si="1918"/>
        <v>0.65007601370206258</v>
      </c>
      <c r="T430" s="196">
        <f t="shared" si="1919"/>
        <v>0.6461274794112718</v>
      </c>
      <c r="U430" s="196">
        <f t="shared" si="1920"/>
        <v>0.73100847946388026</v>
      </c>
      <c r="V430" s="196">
        <f t="shared" si="1921"/>
        <v>0.92105530356951992</v>
      </c>
      <c r="W430" s="196">
        <f t="shared" si="1922"/>
        <v>-0.465777609428005</v>
      </c>
      <c r="X430" s="196">
        <f t="shared" si="1923"/>
        <v>-5.7981953298953091</v>
      </c>
      <c r="Y430" s="196">
        <f t="shared" si="1924"/>
        <v>0.97918845237060581</v>
      </c>
      <c r="Z430" s="196">
        <f t="shared" si="1925"/>
        <v>0.95053572155611177</v>
      </c>
      <c r="AA430" s="196">
        <f t="shared" si="1926"/>
        <v>0.93869208085444888</v>
      </c>
      <c r="AB430" s="196">
        <f t="shared" si="1927"/>
        <v>0.95911149499463977</v>
      </c>
      <c r="AC430" s="196">
        <f t="shared" si="1928"/>
        <v>0.96367855307452266</v>
      </c>
      <c r="AD430" s="196">
        <f t="shared" si="1929"/>
        <v>0.88217316380155109</v>
      </c>
      <c r="AE430" s="196">
        <f t="shared" si="1930"/>
        <v>0.86649838724690753</v>
      </c>
      <c r="AF430" s="196">
        <f t="shared" si="1930"/>
        <v>0.87699766180096872</v>
      </c>
      <c r="AG430" s="196">
        <f t="shared" si="1931"/>
        <v>0.78853477037461606</v>
      </c>
      <c r="AH430" s="196">
        <f t="shared" si="1931"/>
        <v>0.79411963487379256</v>
      </c>
      <c r="AI430" s="196">
        <f t="shared" si="1932"/>
        <v>0.86739236588383395</v>
      </c>
      <c r="AJ430" s="196">
        <f t="shared" si="1933"/>
        <v>0.88530466249135864</v>
      </c>
      <c r="AK430" s="196">
        <f t="shared" si="1934"/>
        <v>0.86203844186887024</v>
      </c>
      <c r="AL430" s="196">
        <f t="shared" si="1935"/>
        <v>0.80476455743195063</v>
      </c>
      <c r="AM430" s="196">
        <f t="shared" si="1936"/>
        <v>0.79361384402489465</v>
      </c>
      <c r="AP430" s="196">
        <f t="shared" si="1908"/>
        <v>0.88344125137587437</v>
      </c>
      <c r="AQ430" s="196">
        <f t="shared" si="1908"/>
        <v>0.80839104444706589</v>
      </c>
      <c r="AR430" s="196">
        <f t="shared" ref="AR430:AX430" si="1939">IFERROR((AR408-AQ408)/(AR386-AQ386),"n/a")</f>
        <v>0.79948285431893129</v>
      </c>
      <c r="AS430" s="196">
        <f t="shared" si="1939"/>
        <v>0.69566511777447593</v>
      </c>
      <c r="AT430" s="196">
        <f t="shared" si="1939"/>
        <v>0.82482397099415372</v>
      </c>
      <c r="AU430" s="196">
        <f t="shared" si="1939"/>
        <v>1.0454799107959329</v>
      </c>
      <c r="AV430" s="196">
        <f t="shared" si="1939"/>
        <v>0.91041232045086018</v>
      </c>
      <c r="AW430" s="196">
        <f t="shared" si="1939"/>
        <v>0.83199893350332788</v>
      </c>
      <c r="AX430" s="196">
        <f t="shared" si="1939"/>
        <v>0.81564939251695612</v>
      </c>
    </row>
    <row r="431" spans="2:50" ht="13.5" x14ac:dyDescent="0.35">
      <c r="B431" s="20" t="s">
        <v>443</v>
      </c>
      <c r="L431" s="198" t="str">
        <f t="shared" si="1911"/>
        <v>n/a</v>
      </c>
      <c r="M431" s="198" t="str">
        <f t="shared" si="1912"/>
        <v>n/a</v>
      </c>
      <c r="N431" s="198" t="str">
        <f t="shared" si="1913"/>
        <v>n/a</v>
      </c>
      <c r="O431" s="198" t="str">
        <f t="shared" si="1914"/>
        <v>n/a</v>
      </c>
      <c r="P431" s="198" t="str">
        <f t="shared" si="1915"/>
        <v>n/a</v>
      </c>
      <c r="Q431" s="198" t="str">
        <f t="shared" si="1916"/>
        <v>n/a</v>
      </c>
      <c r="R431" s="198" t="str">
        <f t="shared" si="1917"/>
        <v>n/a</v>
      </c>
      <c r="S431" s="198">
        <f t="shared" si="1918"/>
        <v>-6.2601501227746992</v>
      </c>
      <c r="T431" s="198">
        <f t="shared" si="1919"/>
        <v>-1.5015550066682326</v>
      </c>
      <c r="U431" s="198">
        <f t="shared" si="1920"/>
        <v>-0.35928102814135143</v>
      </c>
      <c r="V431" s="198">
        <f t="shared" si="1921"/>
        <v>2.3384856435523238E-2</v>
      </c>
      <c r="W431" s="198">
        <f t="shared" si="1922"/>
        <v>1.5747391935239239</v>
      </c>
      <c r="X431" s="198">
        <f t="shared" si="1923"/>
        <v>1.4084553014402785</v>
      </c>
      <c r="Y431" s="198">
        <f t="shared" si="1924"/>
        <v>1.0387793555053793</v>
      </c>
      <c r="Z431" s="198">
        <f t="shared" si="1925"/>
        <v>0.8942190977517902</v>
      </c>
      <c r="AA431" s="198">
        <f t="shared" si="1926"/>
        <v>0.31344288992193625</v>
      </c>
      <c r="AB431" s="198">
        <f t="shared" si="1927"/>
        <v>0.62681968957260015</v>
      </c>
      <c r="AC431" s="198">
        <f t="shared" si="1928"/>
        <v>0.31990121368663438</v>
      </c>
      <c r="AD431" s="198">
        <f t="shared" si="1929"/>
        <v>0.29999999999999988</v>
      </c>
      <c r="AE431" s="198">
        <f t="shared" si="1930"/>
        <v>0.3</v>
      </c>
      <c r="AF431" s="198">
        <f t="shared" si="1930"/>
        <v>0.29999999999999977</v>
      </c>
      <c r="AG431" s="198">
        <f t="shared" si="1931"/>
        <v>0.29999999999999993</v>
      </c>
      <c r="AH431" s="198">
        <f t="shared" si="1931"/>
        <v>0.29999999999999982</v>
      </c>
      <c r="AI431" s="198">
        <f t="shared" si="1932"/>
        <v>0.29999999999999993</v>
      </c>
      <c r="AJ431" s="198">
        <f t="shared" si="1933"/>
        <v>0.30000000000000027</v>
      </c>
      <c r="AK431" s="198">
        <f t="shared" si="1934"/>
        <v>0.30000000000000038</v>
      </c>
      <c r="AL431" s="198">
        <f t="shared" si="1935"/>
        <v>0.30000000000000049</v>
      </c>
      <c r="AM431" s="198">
        <f t="shared" si="1936"/>
        <v>0.30000000000000027</v>
      </c>
      <c r="AP431" s="198" t="str">
        <f t="shared" si="1908"/>
        <v>n/a</v>
      </c>
      <c r="AQ431" s="198" t="str">
        <f t="shared" si="1908"/>
        <v>n/a</v>
      </c>
      <c r="AR431" s="198" t="str">
        <f t="shared" ref="AR431:AX431" si="1940">IFERROR((AR409-AQ409)/(AR387-AQ387),"n/a")</f>
        <v>n/a</v>
      </c>
      <c r="AS431" s="198">
        <f t="shared" si="1940"/>
        <v>-6.2601501227746992</v>
      </c>
      <c r="AT431" s="198">
        <f t="shared" si="1940"/>
        <v>0.16254074569094312</v>
      </c>
      <c r="AU431" s="198">
        <f t="shared" si="1940"/>
        <v>0.97076597875841997</v>
      </c>
      <c r="AV431" s="198">
        <f t="shared" si="1940"/>
        <v>0.38993476270639676</v>
      </c>
      <c r="AW431" s="198">
        <f t="shared" si="1940"/>
        <v>0.29999999999999982</v>
      </c>
      <c r="AX431" s="198">
        <f t="shared" si="1940"/>
        <v>0.30000000000000004</v>
      </c>
    </row>
    <row r="432" spans="2:50" x14ac:dyDescent="0.2">
      <c r="B432" s="30" t="s">
        <v>409</v>
      </c>
      <c r="L432" s="196">
        <f t="shared" si="1911"/>
        <v>0.82578212997532119</v>
      </c>
      <c r="M432" s="196">
        <f t="shared" si="1912"/>
        <v>0.73724754756751965</v>
      </c>
      <c r="N432" s="196">
        <f t="shared" si="1913"/>
        <v>0.74631935540730099</v>
      </c>
      <c r="O432" s="196">
        <f t="shared" si="1914"/>
        <v>0.88163315822125132</v>
      </c>
      <c r="P432" s="196">
        <f t="shared" si="1915"/>
        <v>0.52262714475750993</v>
      </c>
      <c r="Q432" s="196">
        <f t="shared" si="1916"/>
        <v>0.78348490110857827</v>
      </c>
      <c r="R432" s="196">
        <f t="shared" si="1917"/>
        <v>0.78628801132166659</v>
      </c>
      <c r="S432" s="196">
        <f t="shared" si="1918"/>
        <v>0.39790350773466437</v>
      </c>
      <c r="T432" s="196">
        <f t="shared" si="1919"/>
        <v>0.429165290758247</v>
      </c>
      <c r="U432" s="196">
        <f t="shared" si="1920"/>
        <v>0.51738027744645321</v>
      </c>
      <c r="V432" s="196">
        <f t="shared" si="1921"/>
        <v>0.54854182634372695</v>
      </c>
      <c r="W432" s="196">
        <f t="shared" si="1922"/>
        <v>8.3284037397184782</v>
      </c>
      <c r="X432" s="196">
        <f t="shared" si="1923"/>
        <v>3.2078532389846308</v>
      </c>
      <c r="Y432" s="196">
        <f t="shared" si="1924"/>
        <v>0.99232332556686564</v>
      </c>
      <c r="Z432" s="196">
        <f t="shared" si="1925"/>
        <v>0.94486561151254689</v>
      </c>
      <c r="AA432" s="196">
        <f t="shared" si="1926"/>
        <v>0.86765682666007204</v>
      </c>
      <c r="AB432" s="196">
        <f t="shared" si="1927"/>
        <v>0.91065775266784355</v>
      </c>
      <c r="AC432" s="196">
        <f t="shared" si="1928"/>
        <v>0.89412585332908634</v>
      </c>
      <c r="AD432" s="196">
        <f t="shared" si="1929"/>
        <v>0.80619637101521968</v>
      </c>
      <c r="AE432" s="196">
        <f t="shared" si="1930"/>
        <v>0.82919174804556472</v>
      </c>
      <c r="AF432" s="196">
        <f t="shared" si="1930"/>
        <v>0.85235108333684995</v>
      </c>
      <c r="AG432" s="196">
        <f t="shared" si="1931"/>
        <v>0.7513326785633887</v>
      </c>
      <c r="AH432" s="196">
        <f t="shared" si="1931"/>
        <v>0.75886047175473992</v>
      </c>
      <c r="AI432" s="196">
        <f t="shared" si="1932"/>
        <v>0.79860769069391624</v>
      </c>
      <c r="AJ432" s="196">
        <f t="shared" si="1933"/>
        <v>0.76407878430600917</v>
      </c>
      <c r="AK432" s="196">
        <f t="shared" si="1934"/>
        <v>0.75148866280357884</v>
      </c>
      <c r="AL432" s="196">
        <f t="shared" si="1935"/>
        <v>0.76115030660792538</v>
      </c>
      <c r="AM432" s="196">
        <f t="shared" si="1936"/>
        <v>0.75987689701202954</v>
      </c>
      <c r="AP432" s="196">
        <f t="shared" si="1908"/>
        <v>0.88344125137587437</v>
      </c>
      <c r="AQ432" s="196">
        <f t="shared" si="1908"/>
        <v>0.80839104444706589</v>
      </c>
      <c r="AR432" s="196">
        <f t="shared" ref="AR432:AX432" si="1941">IFERROR((AR410-AQ410)/(AR388-AQ388),"n/a")</f>
        <v>0.79948285431893129</v>
      </c>
      <c r="AS432" s="196">
        <f t="shared" si="1941"/>
        <v>0.55940660127899933</v>
      </c>
      <c r="AT432" s="196">
        <f t="shared" si="1941"/>
        <v>0.63883300616279359</v>
      </c>
      <c r="AU432" s="196">
        <f t="shared" si="1941"/>
        <v>1.0316968618689111</v>
      </c>
      <c r="AV432" s="196">
        <f t="shared" si="1941"/>
        <v>0.85556820371639486</v>
      </c>
      <c r="AW432" s="196">
        <f t="shared" si="1941"/>
        <v>0.79608934988523128</v>
      </c>
      <c r="AX432" s="196">
        <f t="shared" si="1941"/>
        <v>0.75963965593021765</v>
      </c>
    </row>
    <row r="433" spans="2:50" ht="13.5" x14ac:dyDescent="0.35">
      <c r="B433" s="20" t="s">
        <v>411</v>
      </c>
      <c r="L433" s="198" t="str">
        <f t="shared" si="1911"/>
        <v>n/a</v>
      </c>
      <c r="M433" s="198" t="str">
        <f t="shared" si="1912"/>
        <v>n/a</v>
      </c>
      <c r="N433" s="198" t="str">
        <f t="shared" si="1913"/>
        <v>n/a</v>
      </c>
      <c r="O433" s="198" t="str">
        <f t="shared" si="1914"/>
        <v>n/a</v>
      </c>
      <c r="P433" s="198" t="str">
        <f t="shared" si="1915"/>
        <v>n/a</v>
      </c>
      <c r="Q433" s="198" t="str">
        <f t="shared" si="1916"/>
        <v>n/a</v>
      </c>
      <c r="R433" s="198" t="str">
        <f t="shared" si="1917"/>
        <v>n/a</v>
      </c>
      <c r="S433" s="198" t="str">
        <f t="shared" si="1918"/>
        <v>n/a</v>
      </c>
      <c r="T433" s="198" t="str">
        <f t="shared" si="1919"/>
        <v>n/a</v>
      </c>
      <c r="U433" s="198" t="str">
        <f t="shared" si="1920"/>
        <v>n/a</v>
      </c>
      <c r="V433" s="198" t="str">
        <f t="shared" si="1921"/>
        <v>n/a</v>
      </c>
      <c r="W433" s="198" t="str">
        <f t="shared" si="1922"/>
        <v>n/a</v>
      </c>
      <c r="X433" s="198" t="str">
        <f t="shared" si="1923"/>
        <v>n/a</v>
      </c>
      <c r="Y433" s="198" t="str">
        <f t="shared" si="1924"/>
        <v>n/a</v>
      </c>
      <c r="Z433" s="198" t="str">
        <f t="shared" si="1925"/>
        <v>n/a</v>
      </c>
      <c r="AA433" s="198">
        <f t="shared" si="1926"/>
        <v>-0.83031152683621978</v>
      </c>
      <c r="AB433" s="198">
        <f t="shared" si="1927"/>
        <v>-0.95385564844766735</v>
      </c>
      <c r="AC433" s="198">
        <f t="shared" si="1928"/>
        <v>-1.0038168659329503</v>
      </c>
      <c r="AD433" s="198">
        <f t="shared" si="1929"/>
        <v>0.12415592838672043</v>
      </c>
      <c r="AE433" s="198">
        <f t="shared" si="1930"/>
        <v>0.15059404959838449</v>
      </c>
      <c r="AF433" s="198">
        <f t="shared" si="1930"/>
        <v>0.3933845074893319</v>
      </c>
      <c r="AG433" s="198">
        <f t="shared" si="1931"/>
        <v>0.62711829958541632</v>
      </c>
      <c r="AH433" s="198">
        <f t="shared" si="1931"/>
        <v>0.47637844200742674</v>
      </c>
      <c r="AI433" s="198">
        <f t="shared" si="1932"/>
        <v>0.63387862429665154</v>
      </c>
      <c r="AJ433" s="198">
        <f t="shared" si="1933"/>
        <v>0.17608726071738115</v>
      </c>
      <c r="AK433" s="198">
        <f t="shared" si="1934"/>
        <v>-3.0026557632867046E-2</v>
      </c>
      <c r="AL433" s="198">
        <f t="shared" si="1935"/>
        <v>0.38581825477372006</v>
      </c>
      <c r="AM433" s="198">
        <f t="shared" si="1936"/>
        <v>0.33172664098590021</v>
      </c>
      <c r="AP433" s="198" t="str">
        <f t="shared" si="1908"/>
        <v>n/a</v>
      </c>
      <c r="AQ433" s="198" t="str">
        <f t="shared" si="1908"/>
        <v>n/a</v>
      </c>
      <c r="AR433" s="198" t="str">
        <f t="shared" ref="AR433:AX433" si="1942">IFERROR((AR411-AQ411)/(AR389-AQ389),"n/a")</f>
        <v>n/a</v>
      </c>
      <c r="AS433" s="198" t="str">
        <f t="shared" si="1942"/>
        <v>n/a</v>
      </c>
      <c r="AT433" s="198" t="str">
        <f t="shared" si="1942"/>
        <v>n/a</v>
      </c>
      <c r="AU433" s="198">
        <f t="shared" si="1942"/>
        <v>-1.0300328724577474</v>
      </c>
      <c r="AV433" s="198">
        <f t="shared" si="1942"/>
        <v>8.1224447122114334E-3</v>
      </c>
      <c r="AW433" s="198">
        <f t="shared" si="1942"/>
        <v>0.52326774804421916</v>
      </c>
      <c r="AX433" s="198">
        <f t="shared" si="1942"/>
        <v>0.23028043062853942</v>
      </c>
    </row>
    <row r="434" spans="2:50" x14ac:dyDescent="0.2">
      <c r="B434" s="30" t="s">
        <v>412</v>
      </c>
      <c r="L434" s="196">
        <f t="shared" si="1911"/>
        <v>0.82578212997532119</v>
      </c>
      <c r="M434" s="196">
        <f t="shared" si="1912"/>
        <v>0.73724754756751965</v>
      </c>
      <c r="N434" s="196">
        <f t="shared" si="1913"/>
        <v>0.74631935540730099</v>
      </c>
      <c r="O434" s="196">
        <f t="shared" si="1914"/>
        <v>0.88163315822125132</v>
      </c>
      <c r="P434" s="196">
        <f t="shared" si="1915"/>
        <v>0.52262714475750993</v>
      </c>
      <c r="Q434" s="196">
        <f t="shared" si="1916"/>
        <v>0.78348490110857827</v>
      </c>
      <c r="R434" s="196">
        <f t="shared" si="1917"/>
        <v>0.78628801132166659</v>
      </c>
      <c r="S434" s="196">
        <f t="shared" si="1918"/>
        <v>0.39790350773466437</v>
      </c>
      <c r="T434" s="196">
        <f t="shared" si="1919"/>
        <v>0.429165290758247</v>
      </c>
      <c r="U434" s="196">
        <f t="shared" si="1920"/>
        <v>0.51738027744645321</v>
      </c>
      <c r="V434" s="196">
        <f t="shared" si="1921"/>
        <v>0.54854182634372695</v>
      </c>
      <c r="W434" s="196">
        <f t="shared" si="1922"/>
        <v>8.3284037397184782</v>
      </c>
      <c r="X434" s="196">
        <f t="shared" si="1923"/>
        <v>3.2078532389846308</v>
      </c>
      <c r="Y434" s="196">
        <f t="shared" si="1924"/>
        <v>0.99232332556686564</v>
      </c>
      <c r="Z434" s="196">
        <f t="shared" si="1925"/>
        <v>0.93865562894889198</v>
      </c>
      <c r="AA434" s="196">
        <f t="shared" si="1926"/>
        <v>0.80895096625145746</v>
      </c>
      <c r="AB434" s="196">
        <f t="shared" si="1927"/>
        <v>0.71556741170009264</v>
      </c>
      <c r="AC434" s="196">
        <f t="shared" si="1928"/>
        <v>0.48627505736239479</v>
      </c>
      <c r="AD434" s="196">
        <f t="shared" si="1929"/>
        <v>0.41800212964534778</v>
      </c>
      <c r="AE434" s="196">
        <f t="shared" si="1930"/>
        <v>0.46766401538264368</v>
      </c>
      <c r="AF434" s="196">
        <f t="shared" si="1930"/>
        <v>0.56097100053403148</v>
      </c>
      <c r="AG434" s="196">
        <f t="shared" si="1931"/>
        <v>0.66504491647305397</v>
      </c>
      <c r="AH434" s="196">
        <f t="shared" si="1931"/>
        <v>0.57872893223215682</v>
      </c>
      <c r="AI434" s="196">
        <f t="shared" si="1932"/>
        <v>0.67537372897747938</v>
      </c>
      <c r="AJ434" s="196">
        <f t="shared" si="1933"/>
        <v>0.38171467896546624</v>
      </c>
      <c r="AK434" s="196">
        <f t="shared" si="1934"/>
        <v>0.16083994848157687</v>
      </c>
      <c r="AL434" s="196">
        <f t="shared" si="1935"/>
        <v>0.54200875043273156</v>
      </c>
      <c r="AM434" s="196">
        <f t="shared" si="1936"/>
        <v>0.52377276448304755</v>
      </c>
      <c r="AP434" s="196">
        <f t="shared" si="1908"/>
        <v>0.88344125137587437</v>
      </c>
      <c r="AQ434" s="196">
        <f t="shared" si="1908"/>
        <v>0.808391044447066</v>
      </c>
      <c r="AR434" s="196">
        <f t="shared" ref="AR434:AX434" si="1943">IFERROR((AR412-AQ412)/(AR390-AQ390),"n/a")</f>
        <v>0.79948285431893129</v>
      </c>
      <c r="AS434" s="196">
        <f t="shared" si="1943"/>
        <v>0.55940660127899922</v>
      </c>
      <c r="AT434" s="196">
        <f t="shared" si="1943"/>
        <v>0.63883300616279359</v>
      </c>
      <c r="AU434" s="196">
        <f t="shared" si="1943"/>
        <v>1.0071831707307077</v>
      </c>
      <c r="AV434" s="196">
        <f t="shared" si="1943"/>
        <v>0.48614821817970139</v>
      </c>
      <c r="AW434" s="196">
        <f t="shared" si="1943"/>
        <v>0.61324345186156037</v>
      </c>
      <c r="AX434" s="196">
        <f t="shared" si="1943"/>
        <v>0.43235665849295241</v>
      </c>
    </row>
    <row r="435" spans="2:50" outlineLevel="1" x14ac:dyDescent="0.2">
      <c r="B435" s="38"/>
    </row>
    <row r="436" spans="2:50" outlineLevel="1" x14ac:dyDescent="0.2">
      <c r="B436" s="19" t="s">
        <v>444</v>
      </c>
    </row>
    <row r="437" spans="2:50" outlineLevel="1" x14ac:dyDescent="0.2">
      <c r="B437" s="20" t="s">
        <v>225</v>
      </c>
      <c r="I437" s="196">
        <f>+IFERROR((I404-H404)/(I382-H382),"n/a")</f>
        <v>0.97468824533674592</v>
      </c>
      <c r="J437" s="196">
        <f t="shared" ref="J437:K437" si="1944">+IFERROR((J404-I404)/(J382-I382),"n/a")</f>
        <v>0.41859636965283109</v>
      </c>
      <c r="K437" s="196">
        <f t="shared" si="1944"/>
        <v>0.745320852606007</v>
      </c>
      <c r="L437" s="196">
        <f t="shared" ref="L437:R438" si="1945">+IFERROR((L404-K404)/(L382-K382),"n/a")</f>
        <v>0.58710891913921837</v>
      </c>
      <c r="M437" s="196">
        <f t="shared" si="1945"/>
        <v>0.74763376066390874</v>
      </c>
      <c r="N437" s="196">
        <f t="shared" si="1945"/>
        <v>9.2192141810771594E-2</v>
      </c>
      <c r="O437" s="196">
        <f t="shared" si="1945"/>
        <v>0.98104743678165551</v>
      </c>
      <c r="P437" s="196">
        <f t="shared" si="1945"/>
        <v>0.97694618266276545</v>
      </c>
      <c r="Q437" s="196">
        <f t="shared" si="1945"/>
        <v>0.85880399710342337</v>
      </c>
      <c r="R437" s="196">
        <f t="shared" si="1945"/>
        <v>0.82377099272937238</v>
      </c>
      <c r="S437" s="196">
        <f t="shared" ref="S437:S438" si="1946">+IFERROR((S404-R404)/(S382-R382),"n/a")</f>
        <v>0.93093754849786536</v>
      </c>
      <c r="T437" s="196">
        <f t="shared" ref="T437:T438" si="1947">+IFERROR((T404-S404)/(T382-S382),"n/a")</f>
        <v>0.96068869505782073</v>
      </c>
      <c r="U437" s="196">
        <f t="shared" ref="U437:U438" si="1948">+IFERROR((U404-T404)/(U382-T382),"n/a")</f>
        <v>0.86233873184556187</v>
      </c>
      <c r="V437" s="196">
        <f t="shared" ref="V437:V438" si="1949">+IFERROR((V404-U404)/(V382-U382),"n/a")</f>
        <v>1.1300945319325291</v>
      </c>
      <c r="W437" s="196">
        <f t="shared" ref="W437:W438" si="1950">+IFERROR((W404-V404)/(W382-V382),"n/a")</f>
        <v>0.96633485951226983</v>
      </c>
      <c r="X437" s="196">
        <f t="shared" ref="X437:X438" si="1951">+IFERROR((X404-W404)/(X382-W382),"n/a")</f>
        <v>0.97479954652161316</v>
      </c>
      <c r="Y437" s="196">
        <f t="shared" ref="Y437:Y438" si="1952">+IFERROR((Y404-X404)/(Y382-X382),"n/a")</f>
        <v>0.8569817539383533</v>
      </c>
      <c r="Z437" s="196">
        <f t="shared" ref="Z437:Z438" si="1953">+IFERROR((Z404-Y404)/(Z382-Y382),"n/a")</f>
        <v>1.3216766308207148</v>
      </c>
      <c r="AA437" s="196">
        <f t="shared" ref="AA437:AA438" si="1954">+IFERROR((AA404-Z404)/(AA382-Z382),"n/a")</f>
        <v>0.94063159809699071</v>
      </c>
      <c r="AB437" s="196">
        <f t="shared" ref="AB437:AB438" si="1955">+IFERROR((AB404-AA404)/(AB382-AA382),"n/a")</f>
        <v>0.9711029040439666</v>
      </c>
      <c r="AC437" s="196">
        <f t="shared" ref="AC437:AC438" si="1956">+IFERROR((AC404-AB404)/(AC382-AB382),"n/a")</f>
        <v>0.90614480832266364</v>
      </c>
      <c r="AD437" s="196">
        <f t="shared" ref="AD437:AD438" si="1957">+IFERROR((AD404-AC404)/(AD382-AC382),"n/a")</f>
        <v>0.95453099330027225</v>
      </c>
      <c r="AE437" s="196">
        <f t="shared" ref="AE437:AF438" si="1958">+IFERROR((AE404-AD404)/(AE382-AD382),"n/a")</f>
        <v>0.91148052835243587</v>
      </c>
      <c r="AF437" s="196">
        <f t="shared" si="1958"/>
        <v>0.94253772284192416</v>
      </c>
      <c r="AG437" s="196">
        <f t="shared" ref="AG437:AH438" si="1959">+IFERROR((AG404-AF404)/(AG382-AF382),"n/a")</f>
        <v>0.74193920586795881</v>
      </c>
      <c r="AH437" s="196">
        <f t="shared" si="1959"/>
        <v>1.953184481790859</v>
      </c>
      <c r="AI437" s="196">
        <f t="shared" ref="AI437:AI438" si="1960">+IFERROR((AI404-AH404)/(AI382-AH382),"n/a")</f>
        <v>0.94108413092079912</v>
      </c>
      <c r="AJ437" s="196">
        <f t="shared" ref="AJ437:AJ445" si="1961">+IFERROR((AJ404-AI404)/(AJ382-AI382),"n/a")</f>
        <v>0.89225905359372426</v>
      </c>
      <c r="AK437" s="196">
        <f t="shared" ref="AK437:AK445" si="1962">+IFERROR((AK404-AJ404)/(AK382-AJ382),"n/a")</f>
        <v>0.7428184685077488</v>
      </c>
      <c r="AL437" s="196">
        <f t="shared" ref="AL437:AL445" si="1963">+IFERROR((AL404-AK404)/(AL382-AK382),"n/a")</f>
        <v>0.87512010726611578</v>
      </c>
      <c r="AM437" s="196">
        <f t="shared" ref="AM437:AM445" si="1964">+IFERROR((AM404-AL404)/(AM382-AL382),"n/a")</f>
        <v>0.92169007883212706</v>
      </c>
    </row>
    <row r="438" spans="2:50" ht="13.5" outlineLevel="1" x14ac:dyDescent="0.35">
      <c r="B438" s="20" t="s">
        <v>226</v>
      </c>
      <c r="I438" s="198">
        <f t="shared" ref="I438:K445" si="1965">+IFERROR((I405-H405)/(I383-H383),"n/a")</f>
        <v>0.40000000000000008</v>
      </c>
      <c r="J438" s="198">
        <f t="shared" si="1965"/>
        <v>0.40000000000000008</v>
      </c>
      <c r="K438" s="198">
        <f t="shared" si="1965"/>
        <v>0.39999999999999997</v>
      </c>
      <c r="L438" s="198">
        <f t="shared" si="1945"/>
        <v>18.716012199771313</v>
      </c>
      <c r="M438" s="198">
        <f t="shared" si="1945"/>
        <v>0.6182957836786136</v>
      </c>
      <c r="N438" s="198">
        <f t="shared" si="1945"/>
        <v>1.5831670090989209</v>
      </c>
      <c r="O438" s="198">
        <f t="shared" si="1945"/>
        <v>0.50897922473264945</v>
      </c>
      <c r="P438" s="198">
        <f t="shared" si="1945"/>
        <v>-0.95121073412767565</v>
      </c>
      <c r="Q438" s="198">
        <f t="shared" si="1945"/>
        <v>0.49430689762657543</v>
      </c>
      <c r="R438" s="198">
        <f t="shared" si="1945"/>
        <v>0.60670259990594644</v>
      </c>
      <c r="S438" s="198">
        <f t="shared" si="1946"/>
        <v>0.53930677801222948</v>
      </c>
      <c r="T438" s="198">
        <f t="shared" si="1947"/>
        <v>0.42205248729778722</v>
      </c>
      <c r="U438" s="198">
        <f t="shared" si="1948"/>
        <v>0.73916630824476981</v>
      </c>
      <c r="V438" s="198">
        <f t="shared" si="1949"/>
        <v>0.74182259642586723</v>
      </c>
      <c r="W438" s="198">
        <f t="shared" si="1950"/>
        <v>0.62325746733585641</v>
      </c>
      <c r="X438" s="198">
        <f t="shared" si="1951"/>
        <v>0.82193423870886295</v>
      </c>
      <c r="Y438" s="198">
        <f t="shared" si="1952"/>
        <v>0.62881571220937138</v>
      </c>
      <c r="Z438" s="198">
        <f t="shared" si="1953"/>
        <v>0.64774484851044523</v>
      </c>
      <c r="AA438" s="198">
        <f t="shared" si="1954"/>
        <v>0.63382617273317621</v>
      </c>
      <c r="AB438" s="198">
        <f t="shared" si="1955"/>
        <v>2.1743841131072985</v>
      </c>
      <c r="AC438" s="198">
        <f t="shared" si="1956"/>
        <v>0.66918176755021563</v>
      </c>
      <c r="AD438" s="198">
        <f t="shared" si="1957"/>
        <v>0.77010518461210775</v>
      </c>
      <c r="AE438" s="198">
        <f t="shared" si="1958"/>
        <v>0.68272024280243504</v>
      </c>
      <c r="AF438" s="198">
        <f t="shared" si="1958"/>
        <v>0.64506927885665255</v>
      </c>
      <c r="AG438" s="198">
        <f t="shared" si="1959"/>
        <v>0.4391873128804592</v>
      </c>
      <c r="AH438" s="198">
        <f t="shared" si="1959"/>
        <v>0.71638295045294065</v>
      </c>
      <c r="AI438" s="198">
        <f t="shared" si="1960"/>
        <v>0.85278738349802463</v>
      </c>
      <c r="AJ438" s="198">
        <f t="shared" si="1961"/>
        <v>0.54490714199780577</v>
      </c>
      <c r="AK438" s="198">
        <f t="shared" si="1962"/>
        <v>0.65028338615335468</v>
      </c>
      <c r="AL438" s="198">
        <f t="shared" si="1963"/>
        <v>0.63043814533352627</v>
      </c>
      <c r="AM438" s="198">
        <f t="shared" si="1964"/>
        <v>0.60205381530268931</v>
      </c>
    </row>
    <row r="439" spans="2:50" outlineLevel="1" x14ac:dyDescent="0.2">
      <c r="B439" s="30" t="s">
        <v>440</v>
      </c>
      <c r="I439" s="196">
        <f t="shared" si="1965"/>
        <v>0.94796374624181368</v>
      </c>
      <c r="J439" s="196">
        <f t="shared" si="1965"/>
        <v>0.41690936608720347</v>
      </c>
      <c r="K439" s="196">
        <f t="shared" si="1965"/>
        <v>0.71606799725093617</v>
      </c>
      <c r="L439" s="196">
        <f t="shared" ref="L439:AI439" si="1966">+IFERROR((L406-K406)/(L384-K384),"n/a")</f>
        <v>0.5013303653408715</v>
      </c>
      <c r="M439" s="196">
        <f t="shared" si="1966"/>
        <v>0.73697757654098428</v>
      </c>
      <c r="N439" s="196">
        <f t="shared" si="1966"/>
        <v>-4.3909082790031286E-2</v>
      </c>
      <c r="O439" s="196">
        <f t="shared" si="1966"/>
        <v>0.93734555983967194</v>
      </c>
      <c r="P439" s="196">
        <f t="shared" si="1966"/>
        <v>0.95098840054971367</v>
      </c>
      <c r="Q439" s="196">
        <f t="shared" si="1966"/>
        <v>0.85301125780573273</v>
      </c>
      <c r="R439" s="196">
        <f t="shared" si="1966"/>
        <v>0.79790064946463035</v>
      </c>
      <c r="S439" s="196">
        <f t="shared" si="1966"/>
        <v>0.91015069921507585</v>
      </c>
      <c r="T439" s="196">
        <f t="shared" si="1966"/>
        <v>0.92512816265182274</v>
      </c>
      <c r="U439" s="196">
        <f t="shared" si="1966"/>
        <v>0.87895428798049968</v>
      </c>
      <c r="V439" s="196">
        <f t="shared" si="1966"/>
        <v>0.83375837905423122</v>
      </c>
      <c r="W439" s="196">
        <f t="shared" si="1966"/>
        <v>0.91681182101579872</v>
      </c>
      <c r="X439" s="196">
        <f t="shared" si="1966"/>
        <v>1.0087356475085838</v>
      </c>
      <c r="Y439" s="196">
        <f t="shared" si="1966"/>
        <v>0.84883963462032241</v>
      </c>
      <c r="Z439" s="196">
        <f t="shared" si="1966"/>
        <v>1.2569723050815391</v>
      </c>
      <c r="AA439" s="196">
        <f t="shared" si="1966"/>
        <v>0.86193099969157261</v>
      </c>
      <c r="AB439" s="196">
        <f t="shared" si="1966"/>
        <v>0.95000899029433206</v>
      </c>
      <c r="AC439" s="196">
        <f t="shared" si="1966"/>
        <v>0.89355876663157752</v>
      </c>
      <c r="AD439" s="196">
        <f t="shared" si="1966"/>
        <v>0.98625017723887431</v>
      </c>
      <c r="AE439" s="196">
        <f t="shared" si="1966"/>
        <v>0.84929395648375905</v>
      </c>
      <c r="AF439" s="196">
        <f t="shared" si="1966"/>
        <v>0.87807699412554063</v>
      </c>
      <c r="AG439" s="196">
        <f t="shared" si="1966"/>
        <v>0.73875248212064515</v>
      </c>
      <c r="AH439" s="196">
        <f t="shared" si="1966"/>
        <v>0.38085812892146076</v>
      </c>
      <c r="AI439" s="196">
        <f t="shared" si="1966"/>
        <v>0.94606853615140829</v>
      </c>
      <c r="AJ439" s="196">
        <f t="shared" si="1961"/>
        <v>0.87154369867630732</v>
      </c>
      <c r="AK439" s="196">
        <f t="shared" si="1962"/>
        <v>0.73799762343020037</v>
      </c>
      <c r="AL439" s="196">
        <f t="shared" si="1963"/>
        <v>0.85870868288674229</v>
      </c>
      <c r="AM439" s="196">
        <f t="shared" si="1964"/>
        <v>0.90025128405384947</v>
      </c>
    </row>
    <row r="440" spans="2:50" ht="13.5" outlineLevel="1" x14ac:dyDescent="0.35">
      <c r="B440" s="20" t="s">
        <v>441</v>
      </c>
      <c r="I440" s="198" t="str">
        <f t="shared" si="1965"/>
        <v>n/a</v>
      </c>
      <c r="J440" s="198" t="str">
        <f t="shared" si="1965"/>
        <v>n/a</v>
      </c>
      <c r="K440" s="198" t="str">
        <f t="shared" si="1965"/>
        <v>n/a</v>
      </c>
      <c r="L440" s="198" t="str">
        <f t="shared" ref="L440:AI440" si="1967">+IFERROR((L407-K407)/(L385-K385),"n/a")</f>
        <v>n/a</v>
      </c>
      <c r="M440" s="198" t="str">
        <f t="shared" si="1967"/>
        <v>n/a</v>
      </c>
      <c r="N440" s="198" t="str">
        <f t="shared" si="1967"/>
        <v>n/a</v>
      </c>
      <c r="O440" s="198" t="str">
        <f t="shared" si="1967"/>
        <v>n/a</v>
      </c>
      <c r="P440" s="198" t="str">
        <f t="shared" si="1967"/>
        <v>n/a</v>
      </c>
      <c r="Q440" s="198" t="str">
        <f t="shared" si="1967"/>
        <v>n/a</v>
      </c>
      <c r="R440" s="198">
        <f t="shared" si="1967"/>
        <v>0.3</v>
      </c>
      <c r="S440" s="198">
        <f t="shared" si="1967"/>
        <v>0.3</v>
      </c>
      <c r="T440" s="198">
        <f t="shared" si="1967"/>
        <v>0.3000000000000006</v>
      </c>
      <c r="U440" s="198">
        <f t="shared" si="1967"/>
        <v>0.3</v>
      </c>
      <c r="V440" s="198">
        <f t="shared" si="1967"/>
        <v>0.3</v>
      </c>
      <c r="W440" s="198">
        <f t="shared" si="1967"/>
        <v>0.30000000000000643</v>
      </c>
      <c r="X440" s="198">
        <f t="shared" si="1967"/>
        <v>0.29999999999999993</v>
      </c>
      <c r="Y440" s="198">
        <f t="shared" si="1967"/>
        <v>0.29999999999999982</v>
      </c>
      <c r="Z440" s="198">
        <f t="shared" si="1967"/>
        <v>0.29999999999999982</v>
      </c>
      <c r="AA440" s="198">
        <f t="shared" si="1967"/>
        <v>0.30000000000000038</v>
      </c>
      <c r="AB440" s="198">
        <f t="shared" si="1967"/>
        <v>0.3</v>
      </c>
      <c r="AC440" s="198" t="str">
        <f t="shared" si="1967"/>
        <v>n/a</v>
      </c>
      <c r="AD440" s="198" t="str">
        <f t="shared" si="1967"/>
        <v>n/a</v>
      </c>
      <c r="AE440" s="198" t="str">
        <f t="shared" si="1967"/>
        <v>n/a</v>
      </c>
      <c r="AF440" s="198" t="str">
        <f t="shared" si="1967"/>
        <v>n/a</v>
      </c>
      <c r="AG440" s="198" t="str">
        <f t="shared" si="1967"/>
        <v>n/a</v>
      </c>
      <c r="AH440" s="198" t="str">
        <f t="shared" si="1967"/>
        <v>n/a</v>
      </c>
      <c r="AI440" s="198" t="str">
        <f t="shared" si="1967"/>
        <v>n/a</v>
      </c>
      <c r="AJ440" s="198" t="str">
        <f t="shared" si="1961"/>
        <v>n/a</v>
      </c>
      <c r="AK440" s="198" t="str">
        <f t="shared" si="1962"/>
        <v>n/a</v>
      </c>
      <c r="AL440" s="198" t="str">
        <f t="shared" si="1963"/>
        <v>n/a</v>
      </c>
      <c r="AM440" s="198" t="str">
        <f t="shared" si="1964"/>
        <v>n/a</v>
      </c>
    </row>
    <row r="441" spans="2:50" outlineLevel="1" x14ac:dyDescent="0.2">
      <c r="B441" s="30" t="s">
        <v>442</v>
      </c>
      <c r="I441" s="196">
        <f t="shared" si="1965"/>
        <v>0.94796374624181368</v>
      </c>
      <c r="J441" s="196">
        <f t="shared" si="1965"/>
        <v>0.41690936608720347</v>
      </c>
      <c r="K441" s="196">
        <f t="shared" si="1965"/>
        <v>0.71606799725093617</v>
      </c>
      <c r="L441" s="196">
        <f t="shared" ref="L441:AI441" si="1968">+IFERROR((L408-K408)/(L386-K386),"n/a")</f>
        <v>0.5013303653408715</v>
      </c>
      <c r="M441" s="196">
        <f t="shared" si="1968"/>
        <v>0.73697757654098428</v>
      </c>
      <c r="N441" s="196">
        <f t="shared" si="1968"/>
        <v>-4.3909082790031286E-2</v>
      </c>
      <c r="O441" s="196">
        <f t="shared" si="1968"/>
        <v>0.93734555983967194</v>
      </c>
      <c r="P441" s="196">
        <f t="shared" si="1968"/>
        <v>0.95098840054971367</v>
      </c>
      <c r="Q441" s="196">
        <f t="shared" si="1968"/>
        <v>0.85301125780573273</v>
      </c>
      <c r="R441" s="196">
        <f t="shared" si="1968"/>
        <v>0.70090608971036983</v>
      </c>
      <c r="S441" s="196">
        <f t="shared" si="1968"/>
        <v>0.65261279675394945</v>
      </c>
      <c r="T441" s="196">
        <f t="shared" si="1968"/>
        <v>0.89799351556662232</v>
      </c>
      <c r="U441" s="196">
        <f t="shared" si="1968"/>
        <v>6.4132298995206991</v>
      </c>
      <c r="V441" s="196">
        <f t="shared" si="1968"/>
        <v>0.42364281799910253</v>
      </c>
      <c r="W441" s="196">
        <f t="shared" si="1968"/>
        <v>0.91686403135756445</v>
      </c>
      <c r="X441" s="196">
        <f t="shared" si="1968"/>
        <v>1.0011418031463739</v>
      </c>
      <c r="Y441" s="196">
        <f t="shared" si="1968"/>
        <v>0.84832303229081341</v>
      </c>
      <c r="Z441" s="196">
        <f t="shared" si="1968"/>
        <v>1.255459653729688</v>
      </c>
      <c r="AA441" s="196">
        <f t="shared" si="1968"/>
        <v>0.86163667832077429</v>
      </c>
      <c r="AB441" s="196">
        <f t="shared" si="1968"/>
        <v>0.93982597986514693</v>
      </c>
      <c r="AC441" s="196">
        <f t="shared" si="1968"/>
        <v>0.89355876663157752</v>
      </c>
      <c r="AD441" s="196">
        <f t="shared" si="1968"/>
        <v>0.98625017723887431</v>
      </c>
      <c r="AE441" s="196">
        <f t="shared" si="1968"/>
        <v>0.84929395648375905</v>
      </c>
      <c r="AF441" s="196">
        <f t="shared" si="1968"/>
        <v>0.87807699412554063</v>
      </c>
      <c r="AG441" s="196">
        <f t="shared" si="1968"/>
        <v>0.73875248212064515</v>
      </c>
      <c r="AH441" s="196">
        <f t="shared" si="1968"/>
        <v>0.38085812892146076</v>
      </c>
      <c r="AI441" s="196">
        <f t="shared" si="1968"/>
        <v>0.94606853615140829</v>
      </c>
      <c r="AJ441" s="196">
        <f t="shared" si="1961"/>
        <v>0.87154369867630732</v>
      </c>
      <c r="AK441" s="196">
        <f t="shared" si="1962"/>
        <v>0.73799762343020037</v>
      </c>
      <c r="AL441" s="196">
        <f t="shared" si="1963"/>
        <v>0.85870868288674229</v>
      </c>
      <c r="AM441" s="196">
        <f t="shared" si="1964"/>
        <v>0.90025128405384947</v>
      </c>
    </row>
    <row r="442" spans="2:50" ht="13.5" outlineLevel="1" x14ac:dyDescent="0.35">
      <c r="B442" s="20" t="s">
        <v>443</v>
      </c>
      <c r="I442" s="198" t="str">
        <f t="shared" si="1965"/>
        <v>n/a</v>
      </c>
      <c r="J442" s="198" t="str">
        <f t="shared" si="1965"/>
        <v>n/a</v>
      </c>
      <c r="K442" s="198" t="str">
        <f t="shared" si="1965"/>
        <v>n/a</v>
      </c>
      <c r="L442" s="198" t="str">
        <f t="shared" ref="L442:AI442" si="1969">+IFERROR((L409-K409)/(L387-K387),"n/a")</f>
        <v>n/a</v>
      </c>
      <c r="M442" s="198" t="str">
        <f t="shared" si="1969"/>
        <v>n/a</v>
      </c>
      <c r="N442" s="198" t="str">
        <f t="shared" si="1969"/>
        <v>n/a</v>
      </c>
      <c r="O442" s="198" t="str">
        <f t="shared" si="1969"/>
        <v>n/a</v>
      </c>
      <c r="P442" s="198" t="str">
        <f t="shared" si="1969"/>
        <v>n/a</v>
      </c>
      <c r="Q442" s="198" t="str">
        <f t="shared" si="1969"/>
        <v>n/a</v>
      </c>
      <c r="R442" s="198" t="str">
        <f t="shared" si="1969"/>
        <v>n/a</v>
      </c>
      <c r="S442" s="198">
        <f t="shared" si="1969"/>
        <v>-6.2601501227746992</v>
      </c>
      <c r="T442" s="198">
        <f t="shared" si="1969"/>
        <v>1.2244742590592348</v>
      </c>
      <c r="U442" s="198">
        <f t="shared" si="1969"/>
        <v>2.9316261770255783</v>
      </c>
      <c r="V442" s="198">
        <f t="shared" si="1969"/>
        <v>0.92634758842080078</v>
      </c>
      <c r="W442" s="198">
        <f t="shared" si="1969"/>
        <v>1.9661593936080388</v>
      </c>
      <c r="X442" s="198">
        <f t="shared" si="1969"/>
        <v>-5.9112223947843034</v>
      </c>
      <c r="Y442" s="198">
        <f t="shared" si="1969"/>
        <v>1.8209610051436984</v>
      </c>
      <c r="Z442" s="198">
        <f t="shared" si="1969"/>
        <v>0.3763888292241826</v>
      </c>
      <c r="AA442" s="198">
        <f t="shared" si="1969"/>
        <v>0.29999999999999988</v>
      </c>
      <c r="AB442" s="198">
        <f t="shared" si="1969"/>
        <v>0.3</v>
      </c>
      <c r="AC442" s="198">
        <f t="shared" si="1969"/>
        <v>0.29999999999999971</v>
      </c>
      <c r="AD442" s="198">
        <f t="shared" si="1969"/>
        <v>0.29999999999999993</v>
      </c>
      <c r="AE442" s="198">
        <f t="shared" si="1969"/>
        <v>0.30000000000000093</v>
      </c>
      <c r="AF442" s="198">
        <f t="shared" si="1969"/>
        <v>0.3000000000000006</v>
      </c>
      <c r="AG442" s="198">
        <f t="shared" si="1969"/>
        <v>0.3</v>
      </c>
      <c r="AH442" s="198">
        <f t="shared" si="1969"/>
        <v>0.29999999999999971</v>
      </c>
      <c r="AI442" s="198">
        <f t="shared" si="1969"/>
        <v>0.29999999999999633</v>
      </c>
      <c r="AJ442" s="198">
        <f t="shared" si="1961"/>
        <v>0.29999999999999966</v>
      </c>
      <c r="AK442" s="198">
        <f t="shared" si="1962"/>
        <v>0.30000000000000016</v>
      </c>
      <c r="AL442" s="198">
        <f t="shared" si="1963"/>
        <v>0.3</v>
      </c>
      <c r="AM442" s="198">
        <f t="shared" si="1964"/>
        <v>0.3</v>
      </c>
    </row>
    <row r="443" spans="2:50" outlineLevel="1" x14ac:dyDescent="0.2">
      <c r="B443" s="30" t="s">
        <v>409</v>
      </c>
      <c r="I443" s="196">
        <f t="shared" si="1965"/>
        <v>0.94796374624181368</v>
      </c>
      <c r="J443" s="196">
        <f t="shared" si="1965"/>
        <v>0.41690936608720347</v>
      </c>
      <c r="K443" s="196">
        <f t="shared" si="1965"/>
        <v>0.71606799725093617</v>
      </c>
      <c r="L443" s="196">
        <f t="shared" ref="L443:AI443" si="1970">+IFERROR((L410-K410)/(L388-K388),"n/a")</f>
        <v>0.5013303653408715</v>
      </c>
      <c r="M443" s="196">
        <f t="shared" si="1970"/>
        <v>0.73697757654098428</v>
      </c>
      <c r="N443" s="196">
        <f t="shared" si="1970"/>
        <v>-4.3909082790031286E-2</v>
      </c>
      <c r="O443" s="196">
        <f t="shared" si="1970"/>
        <v>0.93734555983967194</v>
      </c>
      <c r="P443" s="196">
        <f t="shared" si="1970"/>
        <v>0.95098840054971367</v>
      </c>
      <c r="Q443" s="196">
        <f t="shared" si="1970"/>
        <v>0.85301125780573273</v>
      </c>
      <c r="R443" s="196">
        <f t="shared" si="1970"/>
        <v>0.70090608971036983</v>
      </c>
      <c r="S443" s="196">
        <f t="shared" si="1970"/>
        <v>0.33048153064935504</v>
      </c>
      <c r="T443" s="196">
        <f t="shared" si="1970"/>
        <v>0.82319471489130747</v>
      </c>
      <c r="U443" s="196">
        <f t="shared" si="1970"/>
        <v>4.2432873290479973</v>
      </c>
      <c r="V443" s="196">
        <f t="shared" si="1970"/>
        <v>0.1295565875691834</v>
      </c>
      <c r="W443" s="196">
        <f t="shared" si="1970"/>
        <v>1.0069481707231873</v>
      </c>
      <c r="X443" s="196">
        <f t="shared" si="1970"/>
        <v>1.1863839847456035</v>
      </c>
      <c r="Y443" s="196">
        <f t="shared" si="1970"/>
        <v>0.89478475921473521</v>
      </c>
      <c r="Z443" s="196">
        <f t="shared" si="1970"/>
        <v>1.1558567952694874</v>
      </c>
      <c r="AA443" s="196">
        <f t="shared" si="1970"/>
        <v>0.79463635789592502</v>
      </c>
      <c r="AB443" s="196">
        <f t="shared" si="1970"/>
        <v>1.0436563560974725</v>
      </c>
      <c r="AC443" s="196">
        <f t="shared" si="1970"/>
        <v>0.87691558642502831</v>
      </c>
      <c r="AD443" s="196">
        <f t="shared" si="1970"/>
        <v>0.79773044451677544</v>
      </c>
      <c r="AE443" s="196">
        <f t="shared" si="1970"/>
        <v>0.84495952753724946</v>
      </c>
      <c r="AF443" s="196">
        <f t="shared" si="1970"/>
        <v>0.86221869039512089</v>
      </c>
      <c r="AG443" s="196">
        <f t="shared" si="1970"/>
        <v>0.7028505794643265</v>
      </c>
      <c r="AH443" s="196">
        <f t="shared" si="1970"/>
        <v>0.426990973543943</v>
      </c>
      <c r="AI443" s="196">
        <f t="shared" si="1970"/>
        <v>0.95088963665629622</v>
      </c>
      <c r="AJ443" s="196">
        <f t="shared" si="1961"/>
        <v>0.8580884403784137</v>
      </c>
      <c r="AK443" s="196">
        <f t="shared" si="1962"/>
        <v>0.70091655920249685</v>
      </c>
      <c r="AL443" s="196">
        <f t="shared" si="1963"/>
        <v>0.81280349966099852</v>
      </c>
      <c r="AM443" s="196">
        <f t="shared" si="1964"/>
        <v>0.90399966677350485</v>
      </c>
    </row>
    <row r="444" spans="2:50" ht="13.5" outlineLevel="1" x14ac:dyDescent="0.35">
      <c r="B444" s="20" t="s">
        <v>411</v>
      </c>
      <c r="I444" s="198" t="str">
        <f t="shared" si="1965"/>
        <v>n/a</v>
      </c>
      <c r="J444" s="198" t="str">
        <f t="shared" si="1965"/>
        <v>n/a</v>
      </c>
      <c r="K444" s="198" t="str">
        <f t="shared" si="1965"/>
        <v>n/a</v>
      </c>
      <c r="L444" s="198" t="str">
        <f t="shared" ref="L444:AI444" si="1971">+IFERROR((L411-K411)/(L389-K389),"n/a")</f>
        <v>n/a</v>
      </c>
      <c r="M444" s="198" t="str">
        <f t="shared" si="1971"/>
        <v>n/a</v>
      </c>
      <c r="N444" s="198" t="str">
        <f t="shared" si="1971"/>
        <v>n/a</v>
      </c>
      <c r="O444" s="198" t="str">
        <f t="shared" si="1971"/>
        <v>n/a</v>
      </c>
      <c r="P444" s="198" t="str">
        <f t="shared" si="1971"/>
        <v>n/a</v>
      </c>
      <c r="Q444" s="198" t="str">
        <f t="shared" si="1971"/>
        <v>n/a</v>
      </c>
      <c r="R444" s="198" t="str">
        <f t="shared" si="1971"/>
        <v>n/a</v>
      </c>
      <c r="S444" s="198" t="str">
        <f t="shared" si="1971"/>
        <v>n/a</v>
      </c>
      <c r="T444" s="198" t="str">
        <f t="shared" si="1971"/>
        <v>n/a</v>
      </c>
      <c r="U444" s="198" t="str">
        <f t="shared" si="1971"/>
        <v>n/a</v>
      </c>
      <c r="V444" s="198" t="str">
        <f t="shared" si="1971"/>
        <v>n/a</v>
      </c>
      <c r="W444" s="198" t="str">
        <f t="shared" si="1971"/>
        <v>n/a</v>
      </c>
      <c r="X444" s="198" t="str">
        <f t="shared" si="1971"/>
        <v>n/a</v>
      </c>
      <c r="Y444" s="198" t="str">
        <f t="shared" si="1971"/>
        <v>n/a</v>
      </c>
      <c r="Z444" s="198" t="str">
        <f t="shared" si="1971"/>
        <v>n/a</v>
      </c>
      <c r="AA444" s="198">
        <f t="shared" si="1971"/>
        <v>-0.63059018121469212</v>
      </c>
      <c r="AB444" s="198">
        <f t="shared" si="1971"/>
        <v>-1.0069279825848494</v>
      </c>
      <c r="AC444" s="198">
        <f t="shared" si="1971"/>
        <v>-1.0276997764732458</v>
      </c>
      <c r="AD444" s="198">
        <f t="shared" si="1971"/>
        <v>0.4666690699786063</v>
      </c>
      <c r="AE444" s="198">
        <f t="shared" si="1971"/>
        <v>0.17186131813961542</v>
      </c>
      <c r="AF444" s="198">
        <f t="shared" si="1971"/>
        <v>1.2017847793175491</v>
      </c>
      <c r="AG444" s="198">
        <f t="shared" si="1971"/>
        <v>1.4096306118098336</v>
      </c>
      <c r="AH444" s="198">
        <f t="shared" si="1971"/>
        <v>-1.2201635229568142</v>
      </c>
      <c r="AI444" s="198">
        <f t="shared" si="1971"/>
        <v>0.51775684906768971</v>
      </c>
      <c r="AJ444" s="198">
        <f t="shared" si="1961"/>
        <v>0.40717123464733046</v>
      </c>
      <c r="AK444" s="198">
        <f t="shared" si="1962"/>
        <v>0.35000000000000003</v>
      </c>
      <c r="AL444" s="198">
        <f t="shared" si="1963"/>
        <v>0.34999999999999981</v>
      </c>
      <c r="AM444" s="198">
        <f t="shared" si="1964"/>
        <v>0.3500000000000002</v>
      </c>
    </row>
    <row r="445" spans="2:50" outlineLevel="1" x14ac:dyDescent="0.2">
      <c r="B445" s="30" t="s">
        <v>412</v>
      </c>
      <c r="I445" s="196">
        <f t="shared" si="1965"/>
        <v>0.94796374624181368</v>
      </c>
      <c r="J445" s="196">
        <f t="shared" si="1965"/>
        <v>0.41690936608720347</v>
      </c>
      <c r="K445" s="196">
        <f t="shared" si="1965"/>
        <v>0.71606799725093617</v>
      </c>
      <c r="L445" s="196">
        <f t="shared" ref="L445:AI445" si="1972">+IFERROR((L412-K412)/(L390-K390),"n/a")</f>
        <v>0.5013303653408715</v>
      </c>
      <c r="M445" s="196">
        <f t="shared" si="1972"/>
        <v>0.73697757654098428</v>
      </c>
      <c r="N445" s="196">
        <f t="shared" si="1972"/>
        <v>-4.3909082790031286E-2</v>
      </c>
      <c r="O445" s="196">
        <f t="shared" si="1972"/>
        <v>0.93734555983967194</v>
      </c>
      <c r="P445" s="196">
        <f t="shared" si="1972"/>
        <v>0.95098840054971367</v>
      </c>
      <c r="Q445" s="196">
        <f t="shared" si="1972"/>
        <v>0.85301125780573273</v>
      </c>
      <c r="R445" s="196">
        <f t="shared" si="1972"/>
        <v>0.70090608971036983</v>
      </c>
      <c r="S445" s="196">
        <f t="shared" si="1972"/>
        <v>0.33048153064935504</v>
      </c>
      <c r="T445" s="196">
        <f t="shared" si="1972"/>
        <v>0.82319471489130747</v>
      </c>
      <c r="U445" s="196">
        <f t="shared" si="1972"/>
        <v>4.2432873290479973</v>
      </c>
      <c r="V445" s="196">
        <f t="shared" si="1972"/>
        <v>0.1295565875691834</v>
      </c>
      <c r="W445" s="196">
        <f t="shared" si="1972"/>
        <v>1.0069481707231873</v>
      </c>
      <c r="X445" s="196">
        <f t="shared" si="1972"/>
        <v>1.1863839847456035</v>
      </c>
      <c r="Y445" s="196">
        <f t="shared" si="1972"/>
        <v>0.89478475921473521</v>
      </c>
      <c r="Z445" s="196">
        <f t="shared" si="1972"/>
        <v>1.1344702337371959</v>
      </c>
      <c r="AA445" s="196">
        <f t="shared" si="1972"/>
        <v>0.65089588676198951</v>
      </c>
      <c r="AB445" s="196">
        <f t="shared" si="1972"/>
        <v>1.9954241407838276</v>
      </c>
      <c r="AC445" s="196">
        <f t="shared" si="1972"/>
        <v>0.48280864573962057</v>
      </c>
      <c r="AD445" s="196">
        <f t="shared" si="1972"/>
        <v>0.50794169649876719</v>
      </c>
      <c r="AE445" s="196">
        <f t="shared" si="1972"/>
        <v>0.58973132877576684</v>
      </c>
      <c r="AF445" s="196">
        <f t="shared" si="1972"/>
        <v>-0.13809675022970969</v>
      </c>
      <c r="AG445" s="196">
        <f t="shared" si="1972"/>
        <v>0.90405243361484655</v>
      </c>
      <c r="AH445" s="196">
        <f t="shared" si="1972"/>
        <v>-1.6163124708589218</v>
      </c>
      <c r="AI445" s="196">
        <f t="shared" si="1972"/>
        <v>0.79259542698898533</v>
      </c>
      <c r="AJ445" s="196">
        <f t="shared" si="1961"/>
        <v>0.73218700222005872</v>
      </c>
      <c r="AK445" s="196">
        <f t="shared" si="1962"/>
        <v>0.52273557351858846</v>
      </c>
      <c r="AL445" s="196">
        <f t="shared" si="1963"/>
        <v>0.59645538993588532</v>
      </c>
      <c r="AM445" s="196">
        <f t="shared" si="1964"/>
        <v>0.70295263458814472</v>
      </c>
    </row>
    <row r="446" spans="2:50" x14ac:dyDescent="0.2">
      <c r="B446" s="38"/>
      <c r="AD446" s="10"/>
      <c r="AE446" s="10"/>
      <c r="AF446" s="33"/>
    </row>
    <row r="447" spans="2:50" x14ac:dyDescent="0.2">
      <c r="B447" s="24" t="s">
        <v>88</v>
      </c>
      <c r="J447" s="33"/>
      <c r="N447" s="33"/>
      <c r="R447" s="33"/>
      <c r="Z447" s="33"/>
      <c r="AA447" s="33"/>
      <c r="AD447" s="33"/>
      <c r="AE447" s="33"/>
      <c r="AG447" s="33"/>
      <c r="AI447" s="33"/>
    </row>
    <row r="448" spans="2:50" x14ac:dyDescent="0.2">
      <c r="B448" t="s">
        <v>414</v>
      </c>
      <c r="H448" s="10">
        <f>+IFERROR(H450-H449,"n/a")</f>
        <v>1216.2560000000001</v>
      </c>
      <c r="I448" s="10">
        <f t="shared" ref="I448:Y448" si="1973">+IFERROR(I450-I449,"n/a")</f>
        <v>2938.4429999999998</v>
      </c>
      <c r="J448" s="10">
        <f t="shared" si="1973"/>
        <v>3049.1790000000001</v>
      </c>
      <c r="K448" s="10">
        <f t="shared" si="1973"/>
        <v>5832.13</v>
      </c>
      <c r="L448" s="10">
        <f t="shared" si="1973"/>
        <v>4693.134</v>
      </c>
      <c r="M448" s="10">
        <f t="shared" si="1973"/>
        <v>5895.3240000000005</v>
      </c>
      <c r="N448" s="10">
        <f t="shared" si="1973"/>
        <v>6689.7470000000003</v>
      </c>
      <c r="O448" s="10">
        <f t="shared" si="1973"/>
        <v>9035.1820000000007</v>
      </c>
      <c r="P448" s="10">
        <f t="shared" si="1973"/>
        <v>7064.8220000000001</v>
      </c>
      <c r="Q448" s="10">
        <f t="shared" si="1973"/>
        <v>8864.0420000000013</v>
      </c>
      <c r="R448" s="10">
        <f t="shared" si="1973"/>
        <v>9736.5370000000003</v>
      </c>
      <c r="S448" s="10">
        <f t="shared" si="1973"/>
        <v>14435.651</v>
      </c>
      <c r="T448" s="10">
        <f t="shared" si="1973"/>
        <v>12697.923999999999</v>
      </c>
      <c r="U448" s="10">
        <f t="shared" si="1973"/>
        <v>10004.332999999999</v>
      </c>
      <c r="V448" s="10">
        <f t="shared" si="1973"/>
        <v>9665.9070000000011</v>
      </c>
      <c r="W448" s="10">
        <f t="shared" si="1973"/>
        <v>10821.336999999998</v>
      </c>
      <c r="X448" s="10">
        <f t="shared" si="1973"/>
        <v>10717.963</v>
      </c>
      <c r="Y448" s="10">
        <f t="shared" si="1973"/>
        <v>10829.888000000001</v>
      </c>
      <c r="Z448" s="10">
        <f>+V448*(1+Z453)</f>
        <v>12372.360960000002</v>
      </c>
      <c r="AA448" s="10">
        <f t="shared" ref="AA448:AI448" si="1974">+W448*(1+AA453)</f>
        <v>14933.445059999996</v>
      </c>
      <c r="AB448" s="10">
        <f t="shared" si="1974"/>
        <v>12647.196339999999</v>
      </c>
      <c r="AC448" s="10">
        <f t="shared" si="1974"/>
        <v>13212.463360000002</v>
      </c>
      <c r="AD448" s="10">
        <f t="shared" si="1974"/>
        <v>14599.385932800002</v>
      </c>
      <c r="AE448" s="10">
        <f t="shared" si="1974"/>
        <v>17322.796269599996</v>
      </c>
      <c r="AF448" s="10">
        <f t="shared" si="1974"/>
        <v>14923.691681199998</v>
      </c>
      <c r="AG448" s="10">
        <f t="shared" si="1974"/>
        <v>15590.706764800001</v>
      </c>
      <c r="AH448" s="10">
        <f t="shared" si="1974"/>
        <v>17227.275400704002</v>
      </c>
      <c r="AI448" s="10">
        <f t="shared" si="1974"/>
        <v>22692.863113175994</v>
      </c>
      <c r="AJ448" s="10">
        <f t="shared" ref="AJ448" si="1975">+AF448*(1+AJ453)</f>
        <v>19400.799185559998</v>
      </c>
      <c r="AK448" s="10">
        <f t="shared" ref="AK448" si="1976">+AG448*(1+AK453)</f>
        <v>19956.104658944001</v>
      </c>
      <c r="AL448" s="10">
        <f t="shared" ref="AL448" si="1977">+AH448*(1+AL453)</f>
        <v>21534.094250880004</v>
      </c>
      <c r="AM448" s="10">
        <f t="shared" ref="AM448" si="1978">+AI448*(1+AM453)</f>
        <v>26096.792580152392</v>
      </c>
      <c r="AO448" s="10">
        <f t="shared" ref="AO448:AP448" si="1979">+IFERROR(AO450-AO449,"n/a")</f>
        <v>168.42700000000002</v>
      </c>
      <c r="AP448" s="10">
        <f t="shared" si="1979"/>
        <v>1342.9070000000002</v>
      </c>
      <c r="AQ448" s="14">
        <f>+SUM(H448:K448)</f>
        <v>13036.008</v>
      </c>
      <c r="AR448" s="14">
        <f>+SUM(L448:O448)</f>
        <v>26313.387000000002</v>
      </c>
      <c r="AS448" s="14">
        <f>+SUM(P448:S448)</f>
        <v>40101.052000000003</v>
      </c>
      <c r="AT448" s="14">
        <f>+SUM(T448:W448)</f>
        <v>43189.500999999997</v>
      </c>
      <c r="AU448" s="14">
        <f>+SUM(X448:AA448)</f>
        <v>48853.657019999999</v>
      </c>
      <c r="AV448" s="14">
        <f>+SUM(AB448:AE448)</f>
        <v>57781.841902399996</v>
      </c>
      <c r="AW448" s="14">
        <f>+SUM(AF448:AI448)</f>
        <v>70434.536959879988</v>
      </c>
      <c r="AX448" s="10">
        <f t="shared" ref="AX448:AX450" si="1980">+SUM(AJ448:AM448)</f>
        <v>86987.790675536395</v>
      </c>
    </row>
    <row r="449" spans="2:50" ht="13.5" x14ac:dyDescent="0.35">
      <c r="B449" t="s">
        <v>415</v>
      </c>
      <c r="H449" s="13">
        <v>0</v>
      </c>
      <c r="I449" s="13">
        <v>0</v>
      </c>
      <c r="J449" s="13">
        <v>0</v>
      </c>
      <c r="K449" s="13">
        <v>0</v>
      </c>
      <c r="L449" s="13">
        <v>0</v>
      </c>
      <c r="M449" s="13">
        <v>0</v>
      </c>
      <c r="N449" s="13">
        <v>0</v>
      </c>
      <c r="O449" s="13">
        <v>0</v>
      </c>
      <c r="P449" s="13">
        <v>0</v>
      </c>
      <c r="Q449" s="13">
        <v>0</v>
      </c>
      <c r="R449" s="13">
        <v>0</v>
      </c>
      <c r="S449" s="13">
        <v>0</v>
      </c>
      <c r="T449" s="13">
        <v>0</v>
      </c>
      <c r="U449" s="13">
        <v>0</v>
      </c>
      <c r="V449" s="13">
        <v>0</v>
      </c>
      <c r="W449" s="13">
        <v>0</v>
      </c>
      <c r="X449" s="13">
        <v>0</v>
      </c>
      <c r="Y449" s="13">
        <v>0</v>
      </c>
      <c r="Z449" s="25">
        <f>+IFERROR(Z450-Z448,"n/a")</f>
        <v>1067.9970399999984</v>
      </c>
      <c r="AA449" s="25">
        <f t="shared" ref="AA449:AE449" si="1981">+IFERROR(AA450-AA448,"n/a")</f>
        <v>2263.3889400000025</v>
      </c>
      <c r="AB449" s="25">
        <f t="shared" si="1981"/>
        <v>3123.7186600000023</v>
      </c>
      <c r="AC449" s="25">
        <f t="shared" si="1981"/>
        <v>3340.4196399999964</v>
      </c>
      <c r="AD449" s="25">
        <f t="shared" si="1981"/>
        <v>6684.1130671999981</v>
      </c>
      <c r="AE449" s="25">
        <f t="shared" si="1981"/>
        <v>8904.6797304000065</v>
      </c>
      <c r="AF449" s="25">
        <f t="shared" ref="AF449:AG449" si="1982">+IFERROR(AF450-AF448,"n/a")</f>
        <v>7814.5883188000007</v>
      </c>
      <c r="AG449" s="25">
        <f t="shared" si="1982"/>
        <v>9820.4332351999983</v>
      </c>
      <c r="AH449" s="25">
        <f t="shared" ref="AH449" si="1983">+IFERROR(AH450-AH448,"n/a")</f>
        <v>12606.418599295997</v>
      </c>
      <c r="AI449" s="25">
        <f t="shared" ref="AI449" si="1984">+IFERROR(AI464*AI389,"n/a")</f>
        <v>16909.978854676599</v>
      </c>
      <c r="AJ449" s="25">
        <f t="shared" ref="AJ449:AM449" si="1985">+IFERROR(AJ464*AJ389,"n/a")</f>
        <v>13377.457606302014</v>
      </c>
      <c r="AK449" s="25">
        <f t="shared" si="1985"/>
        <v>16191.162413463489</v>
      </c>
      <c r="AL449" s="25">
        <f t="shared" si="1985"/>
        <v>17486.455406540568</v>
      </c>
      <c r="AM449" s="25">
        <f t="shared" si="1985"/>
        <v>19235.100947194631</v>
      </c>
      <c r="AO449" s="13">
        <v>0</v>
      </c>
      <c r="AP449" s="13">
        <v>0</v>
      </c>
      <c r="AQ449" s="15">
        <f>+SUM(H449:K449)</f>
        <v>0</v>
      </c>
      <c r="AR449" s="15">
        <f>+SUM(L449:O449)</f>
        <v>0</v>
      </c>
      <c r="AS449" s="15">
        <f>+SUM(P449:S449)</f>
        <v>0</v>
      </c>
      <c r="AT449" s="15">
        <f>+SUM(T449:W449)</f>
        <v>0</v>
      </c>
      <c r="AU449" s="15">
        <f>+SUM(X449:AA449)</f>
        <v>3331.3859800000009</v>
      </c>
      <c r="AV449" s="15">
        <f>+SUM(AB449:AE449)</f>
        <v>22052.931097600005</v>
      </c>
      <c r="AW449" s="15">
        <f>+SUM(AF449:AI449)</f>
        <v>47151.419007972596</v>
      </c>
      <c r="AX449" s="25">
        <f t="shared" si="1980"/>
        <v>66290.176373500697</v>
      </c>
    </row>
    <row r="450" spans="2:50" s="1" customFormat="1" x14ac:dyDescent="0.2">
      <c r="B450" s="38" t="s">
        <v>416</v>
      </c>
      <c r="H450" s="42">
        <f t="shared" ref="H450:AH450" si="1986">+H44</f>
        <v>1216.2560000000001</v>
      </c>
      <c r="I450" s="42">
        <f t="shared" si="1986"/>
        <v>2938.4429999999998</v>
      </c>
      <c r="J450" s="42">
        <f t="shared" si="1986"/>
        <v>3049.1790000000001</v>
      </c>
      <c r="K450" s="42">
        <f t="shared" si="1986"/>
        <v>5832.13</v>
      </c>
      <c r="L450" s="42">
        <f t="shared" si="1986"/>
        <v>4693.134</v>
      </c>
      <c r="M450" s="42">
        <f t="shared" si="1986"/>
        <v>5895.3240000000005</v>
      </c>
      <c r="N450" s="42">
        <f t="shared" si="1986"/>
        <v>6689.7470000000003</v>
      </c>
      <c r="O450" s="42">
        <f t="shared" si="1986"/>
        <v>9035.1820000000007</v>
      </c>
      <c r="P450" s="42">
        <f t="shared" si="1986"/>
        <v>7064.8220000000001</v>
      </c>
      <c r="Q450" s="42">
        <f t="shared" si="1986"/>
        <v>8864.0420000000013</v>
      </c>
      <c r="R450" s="42">
        <f t="shared" si="1986"/>
        <v>9736.5370000000003</v>
      </c>
      <c r="S450" s="42">
        <f t="shared" si="1986"/>
        <v>14435.651</v>
      </c>
      <c r="T450" s="42">
        <f t="shared" si="1986"/>
        <v>12697.923999999999</v>
      </c>
      <c r="U450" s="42">
        <f t="shared" si="1986"/>
        <v>10004.332999999999</v>
      </c>
      <c r="V450" s="42">
        <f t="shared" si="1986"/>
        <v>9665.9070000000011</v>
      </c>
      <c r="W450" s="42">
        <f t="shared" si="1986"/>
        <v>10821.336999999998</v>
      </c>
      <c r="X450" s="42">
        <f t="shared" si="1986"/>
        <v>10717.963</v>
      </c>
      <c r="Y450" s="42">
        <f t="shared" si="1986"/>
        <v>10829.888000000001</v>
      </c>
      <c r="Z450" s="42">
        <f t="shared" si="1986"/>
        <v>13440.358</v>
      </c>
      <c r="AA450" s="42">
        <f t="shared" si="1986"/>
        <v>17196.833999999999</v>
      </c>
      <c r="AB450" s="42">
        <f t="shared" si="1986"/>
        <v>15770.915000000001</v>
      </c>
      <c r="AC450" s="42">
        <f t="shared" si="1986"/>
        <v>16552.882999999998</v>
      </c>
      <c r="AD450" s="42">
        <f t="shared" si="1986"/>
        <v>21283.499</v>
      </c>
      <c r="AE450" s="42">
        <f t="shared" si="1986"/>
        <v>26227.476000000002</v>
      </c>
      <c r="AF450" s="42">
        <f t="shared" si="1986"/>
        <v>22738.28</v>
      </c>
      <c r="AG450" s="42">
        <f t="shared" si="1986"/>
        <v>25411.14</v>
      </c>
      <c r="AH450" s="42">
        <f t="shared" si="1986"/>
        <v>29833.694</v>
      </c>
      <c r="AI450" s="42">
        <f t="shared" ref="AI450" si="1987">IFERROR(AI448+AI449,"n/a")</f>
        <v>39602.841967852597</v>
      </c>
      <c r="AJ450" s="42">
        <f t="shared" ref="AJ450:AM450" si="1988">IFERROR(AJ448+AJ449,"n/a")</f>
        <v>32778.256791862012</v>
      </c>
      <c r="AK450" s="42">
        <f t="shared" si="1988"/>
        <v>36147.267072407492</v>
      </c>
      <c r="AL450" s="42">
        <f t="shared" si="1988"/>
        <v>39020.549657420575</v>
      </c>
      <c r="AM450" s="42">
        <f t="shared" si="1988"/>
        <v>45331.893527347027</v>
      </c>
      <c r="AO450" s="42">
        <f>+AO44</f>
        <v>168.42700000000002</v>
      </c>
      <c r="AP450" s="42">
        <f>+AP44</f>
        <v>1342.9070000000002</v>
      </c>
      <c r="AQ450" s="48">
        <f>+SUM(H450:K450)</f>
        <v>13036.008</v>
      </c>
      <c r="AR450" s="48">
        <f>+SUM(L450:O450)</f>
        <v>26313.387000000002</v>
      </c>
      <c r="AS450" s="48">
        <f>+SUM(P450:S450)</f>
        <v>40101.052000000003</v>
      </c>
      <c r="AT450" s="48">
        <f>+SUM(T450:W450)</f>
        <v>43189.500999999997</v>
      </c>
      <c r="AU450" s="48">
        <f>+SUM(X450:AA450)</f>
        <v>52185.043000000005</v>
      </c>
      <c r="AV450" s="48">
        <f>+SUM(AB450:AE450)</f>
        <v>79834.773000000001</v>
      </c>
      <c r="AW450" s="48">
        <f>+SUM(AF450:AI450)</f>
        <v>117585.9559678526</v>
      </c>
      <c r="AX450" s="42">
        <f t="shared" si="1980"/>
        <v>153277.96704903711</v>
      </c>
    </row>
    <row r="451" spans="2:50" x14ac:dyDescent="0.2">
      <c r="B451" s="38"/>
      <c r="O451" s="33"/>
      <c r="S451" s="33"/>
      <c r="W451" s="33"/>
      <c r="AA451" s="33"/>
      <c r="AE451" s="33"/>
      <c r="AH451" s="33"/>
      <c r="AI451" s="42"/>
    </row>
    <row r="452" spans="2:50" x14ac:dyDescent="0.2">
      <c r="B452" s="19" t="s">
        <v>85</v>
      </c>
    </row>
    <row r="453" spans="2:50" x14ac:dyDescent="0.2">
      <c r="B453" s="20" t="s">
        <v>414</v>
      </c>
      <c r="L453" s="173">
        <f>+IFERROR(L448/H448-1,"n/a")</f>
        <v>2.8586728451904859</v>
      </c>
      <c r="M453" s="173">
        <f t="shared" ref="M453" si="1989">+IFERROR(M448/I448-1,"n/a")</f>
        <v>1.006274751628669</v>
      </c>
      <c r="N453" s="173">
        <f t="shared" ref="N453" si="1990">+IFERROR(N448/J448-1,"n/a")</f>
        <v>1.1939502403761799</v>
      </c>
      <c r="O453" s="173">
        <f t="shared" ref="O453" si="1991">+IFERROR(O448/K448-1,"n/a")</f>
        <v>0.54920792231997573</v>
      </c>
      <c r="P453" s="173">
        <f t="shared" ref="P453" si="1992">+IFERROR(P448/L448-1,"n/a")</f>
        <v>0.50535271313369701</v>
      </c>
      <c r="Q453" s="173">
        <f t="shared" ref="Q453" si="1993">+IFERROR(Q448/M448-1,"n/a")</f>
        <v>0.50357164423872214</v>
      </c>
      <c r="R453" s="173">
        <f t="shared" ref="R453" si="1994">+IFERROR(R448/N448-1,"n/a")</f>
        <v>0.45544173793119525</v>
      </c>
      <c r="S453" s="173">
        <f t="shared" ref="S453" si="1995">+IFERROR(S448/O448-1,"n/a")</f>
        <v>0.59771557451748047</v>
      </c>
      <c r="T453" s="173">
        <f t="shared" ref="T453" si="1996">+IFERROR(T448/P448-1,"n/a")</f>
        <v>0.79734521266070102</v>
      </c>
      <c r="U453" s="173">
        <f t="shared" ref="U453" si="1997">+IFERROR(U448/Q448-1,"n/a")</f>
        <v>0.12864232818391397</v>
      </c>
      <c r="V453" s="173">
        <f t="shared" ref="V453" si="1998">+IFERROR(V448/R448-1,"n/a")</f>
        <v>-7.2541192006972954E-3</v>
      </c>
      <c r="W453" s="173">
        <f t="shared" ref="W453" si="1999">+IFERROR(W448/S448-1,"n/a")</f>
        <v>-0.25037416047256911</v>
      </c>
      <c r="X453" s="173">
        <f t="shared" ref="X453" si="2000">+IFERROR(X448/T448-1,"n/a")</f>
        <v>-0.15592792963637203</v>
      </c>
      <c r="Y453" s="173">
        <f t="shared" ref="Y453" si="2001">+IFERROR(Y448/U448-1,"n/a")</f>
        <v>8.251974419484065E-2</v>
      </c>
      <c r="Z453" s="168">
        <v>0.28000000000000003</v>
      </c>
      <c r="AA453" s="168">
        <v>0.38</v>
      </c>
      <c r="AB453" s="168">
        <v>0.18</v>
      </c>
      <c r="AC453" s="168">
        <v>0.22</v>
      </c>
      <c r="AD453" s="168">
        <v>0.18</v>
      </c>
      <c r="AE453" s="168">
        <v>0.16</v>
      </c>
      <c r="AF453" s="168">
        <v>0.18</v>
      </c>
      <c r="AG453" s="168">
        <v>0.18</v>
      </c>
      <c r="AH453" s="168">
        <v>0.18</v>
      </c>
      <c r="AI453" s="168">
        <v>0.31</v>
      </c>
      <c r="AJ453" s="168">
        <v>0.3</v>
      </c>
      <c r="AK453" s="168">
        <v>0.28000000000000003</v>
      </c>
      <c r="AL453" s="168">
        <v>0.25</v>
      </c>
      <c r="AM453" s="168">
        <v>0.15</v>
      </c>
      <c r="AP453" s="173">
        <f>+IFERROR(AP448/AO448-1,"n/a")</f>
        <v>6.9732287578594878</v>
      </c>
      <c r="AQ453" s="173">
        <f t="shared" ref="AQ453:AX453" si="2002">+IFERROR(AQ448/AP448-1,"n/a")</f>
        <v>8.7073051223949225</v>
      </c>
      <c r="AR453" s="173">
        <f t="shared" si="2002"/>
        <v>1.0185157143199057</v>
      </c>
      <c r="AS453" s="173">
        <f t="shared" si="2002"/>
        <v>0.52397910614851662</v>
      </c>
      <c r="AT453" s="173">
        <f t="shared" si="2002"/>
        <v>7.7016657817355894E-2</v>
      </c>
      <c r="AU453" s="173">
        <f t="shared" si="2002"/>
        <v>0.1311465955580271</v>
      </c>
      <c r="AV453" s="173">
        <f t="shared" si="2002"/>
        <v>0.18275366527310166</v>
      </c>
      <c r="AW453" s="173">
        <f t="shared" si="2002"/>
        <v>0.21897355018297637</v>
      </c>
      <c r="AX453" s="173">
        <f t="shared" si="2002"/>
        <v>0.2350161501748107</v>
      </c>
    </row>
    <row r="454" spans="2:50" ht="13.5" x14ac:dyDescent="0.35">
      <c r="B454" s="20" t="s">
        <v>415</v>
      </c>
      <c r="L454" s="180" t="str">
        <f>+IFERROR(L449/H449-1,"n/a")</f>
        <v>n/a</v>
      </c>
      <c r="M454" s="180" t="str">
        <f t="shared" ref="M454" si="2003">+IFERROR(M449/I449-1,"n/a")</f>
        <v>n/a</v>
      </c>
      <c r="N454" s="180" t="str">
        <f t="shared" ref="N454" si="2004">+IFERROR(N449/J449-1,"n/a")</f>
        <v>n/a</v>
      </c>
      <c r="O454" s="180" t="str">
        <f t="shared" ref="O454" si="2005">+IFERROR(O449/K449-1,"n/a")</f>
        <v>n/a</v>
      </c>
      <c r="P454" s="180" t="str">
        <f t="shared" ref="P454" si="2006">+IFERROR(P449/L449-1,"n/a")</f>
        <v>n/a</v>
      </c>
      <c r="Q454" s="180" t="str">
        <f t="shared" ref="Q454" si="2007">+IFERROR(Q449/M449-1,"n/a")</f>
        <v>n/a</v>
      </c>
      <c r="R454" s="180" t="str">
        <f t="shared" ref="R454" si="2008">+IFERROR(R449/N449-1,"n/a")</f>
        <v>n/a</v>
      </c>
      <c r="S454" s="180" t="str">
        <f t="shared" ref="S454" si="2009">+IFERROR(S449/O449-1,"n/a")</f>
        <v>n/a</v>
      </c>
      <c r="T454" s="180" t="str">
        <f t="shared" ref="T454" si="2010">+IFERROR(T449/P449-1,"n/a")</f>
        <v>n/a</v>
      </c>
      <c r="U454" s="180" t="str">
        <f t="shared" ref="U454" si="2011">+IFERROR(U449/Q449-1,"n/a")</f>
        <v>n/a</v>
      </c>
      <c r="V454" s="180" t="str">
        <f t="shared" ref="V454" si="2012">+IFERROR(V449/R449-1,"n/a")</f>
        <v>n/a</v>
      </c>
      <c r="W454" s="180" t="str">
        <f t="shared" ref="W454" si="2013">+IFERROR(W449/S449-1,"n/a")</f>
        <v>n/a</v>
      </c>
      <c r="X454" s="180" t="str">
        <f t="shared" ref="X454" si="2014">+IFERROR(X449/T449-1,"n/a")</f>
        <v>n/a</v>
      </c>
      <c r="Y454" s="180" t="str">
        <f t="shared" ref="Y454" si="2015">+IFERROR(Y449/U449-1,"n/a")</f>
        <v>n/a</v>
      </c>
      <c r="Z454" s="180" t="str">
        <f t="shared" ref="Z454" si="2016">+IFERROR(Z449/V449-1,"n/a")</f>
        <v>n/a</v>
      </c>
      <c r="AA454" s="180" t="str">
        <f t="shared" ref="AA454" si="2017">+IFERROR(AA449/W449-1,"n/a")</f>
        <v>n/a</v>
      </c>
      <c r="AB454" s="180" t="str">
        <f t="shared" ref="AB454" si="2018">+IFERROR(AB449/X449-1,"n/a")</f>
        <v>n/a</v>
      </c>
      <c r="AC454" s="180" t="str">
        <f t="shared" ref="AC454" si="2019">+IFERROR(AC449/Y449-1,"n/a")</f>
        <v>n/a</v>
      </c>
      <c r="AD454" s="180">
        <f t="shared" ref="AD454" si="2020">+IFERROR(AD449/Z449-1,"n/a")</f>
        <v>5.2585501802514436</v>
      </c>
      <c r="AE454" s="180">
        <f t="shared" ref="AE454" si="2021">+IFERROR(AE449/AA449-1,"n/a")</f>
        <v>2.9342242833438941</v>
      </c>
      <c r="AF454" s="180">
        <f t="shared" ref="AF454:AF455" si="2022">+IFERROR(AF449/AB449-1,"n/a")</f>
        <v>1.501694028616519</v>
      </c>
      <c r="AG454" s="180">
        <f t="shared" ref="AG454:AH455" si="2023">+IFERROR(AG449/AC449-1,"n/a")</f>
        <v>1.9398801029681434</v>
      </c>
      <c r="AH454" s="180">
        <f t="shared" si="2023"/>
        <v>0.88602713217968909</v>
      </c>
      <c r="AI454" s="180">
        <f t="shared" ref="AI454:AI455" si="2024">+IFERROR(AI449/AE449-1,"n/a")</f>
        <v>0.8989991068344676</v>
      </c>
      <c r="AJ454" s="180">
        <f t="shared" ref="AJ454:AJ455" si="2025">+IFERROR(AJ449/AF449-1,"n/a")</f>
        <v>0.71185698600642877</v>
      </c>
      <c r="AK454" s="180">
        <f t="shared" ref="AK454:AK455" si="2026">+IFERROR(AK449/AG449-1,"n/a")</f>
        <v>0.6487218054116477</v>
      </c>
      <c r="AL454" s="180">
        <f t="shared" ref="AL454:AL455" si="2027">+IFERROR(AL449/AH449-1,"n/a")</f>
        <v>0.38710731115315289</v>
      </c>
      <c r="AM454" s="180">
        <f t="shared" ref="AM454:AM455" si="2028">+IFERROR(AM449/AI449-1,"n/a")</f>
        <v>0.13749999999999996</v>
      </c>
      <c r="AP454" s="180" t="str">
        <f t="shared" ref="AP454:AX455" si="2029">+IFERROR(AP449/AO449-1,"n/a")</f>
        <v>n/a</v>
      </c>
      <c r="AQ454" s="180" t="str">
        <f t="shared" si="2029"/>
        <v>n/a</v>
      </c>
      <c r="AR454" s="180" t="str">
        <f t="shared" si="2029"/>
        <v>n/a</v>
      </c>
      <c r="AS454" s="180" t="str">
        <f t="shared" si="2029"/>
        <v>n/a</v>
      </c>
      <c r="AT454" s="180" t="str">
        <f t="shared" si="2029"/>
        <v>n/a</v>
      </c>
      <c r="AU454" s="180" t="str">
        <f t="shared" si="2029"/>
        <v>n/a</v>
      </c>
      <c r="AV454" s="180">
        <f t="shared" si="2029"/>
        <v>5.6197466249767913</v>
      </c>
      <c r="AW454" s="180">
        <f t="shared" si="2029"/>
        <v>1.1381021325144407</v>
      </c>
      <c r="AX454" s="180">
        <f t="shared" si="2029"/>
        <v>0.40589992344221981</v>
      </c>
    </row>
    <row r="455" spans="2:50" x14ac:dyDescent="0.2">
      <c r="B455" s="30" t="s">
        <v>416</v>
      </c>
      <c r="L455" s="173">
        <f>+IFERROR(L450/H450-1,"n/a")</f>
        <v>2.8586728451904859</v>
      </c>
      <c r="M455" s="173">
        <f t="shared" ref="M455:AE455" si="2030">+IFERROR(M450/I450-1,"n/a")</f>
        <v>1.006274751628669</v>
      </c>
      <c r="N455" s="173">
        <f t="shared" si="2030"/>
        <v>1.1939502403761799</v>
      </c>
      <c r="O455" s="173">
        <f t="shared" si="2030"/>
        <v>0.54920792231997573</v>
      </c>
      <c r="P455" s="173">
        <f t="shared" si="2030"/>
        <v>0.50535271313369701</v>
      </c>
      <c r="Q455" s="173">
        <f t="shared" si="2030"/>
        <v>0.50357164423872214</v>
      </c>
      <c r="R455" s="173">
        <f t="shared" si="2030"/>
        <v>0.45544173793119525</v>
      </c>
      <c r="S455" s="173">
        <f t="shared" si="2030"/>
        <v>0.59771557451748047</v>
      </c>
      <c r="T455" s="173">
        <f t="shared" si="2030"/>
        <v>0.79734521266070102</v>
      </c>
      <c r="U455" s="173">
        <f t="shared" si="2030"/>
        <v>0.12864232818391397</v>
      </c>
      <c r="V455" s="173">
        <f t="shared" si="2030"/>
        <v>-7.2541192006972954E-3</v>
      </c>
      <c r="W455" s="173">
        <f t="shared" si="2030"/>
        <v>-0.25037416047256911</v>
      </c>
      <c r="X455" s="173">
        <f t="shared" si="2030"/>
        <v>-0.15592792963637203</v>
      </c>
      <c r="Y455" s="173">
        <f t="shared" si="2030"/>
        <v>8.251974419484065E-2</v>
      </c>
      <c r="Z455" s="173">
        <f t="shared" si="2030"/>
        <v>0.39049113549302716</v>
      </c>
      <c r="AA455" s="173">
        <f t="shared" si="2030"/>
        <v>0.58915982378147946</v>
      </c>
      <c r="AB455" s="173">
        <f t="shared" si="2030"/>
        <v>0.47144704642104118</v>
      </c>
      <c r="AC455" s="173">
        <f t="shared" si="2030"/>
        <v>0.52844452315665658</v>
      </c>
      <c r="AD455" s="173">
        <f t="shared" si="2030"/>
        <v>0.58355149468488854</v>
      </c>
      <c r="AE455" s="173">
        <f t="shared" si="2030"/>
        <v>0.52513398687223489</v>
      </c>
      <c r="AF455" s="173">
        <f t="shared" si="2022"/>
        <v>0.4417857175693356</v>
      </c>
      <c r="AG455" s="173">
        <f t="shared" si="2023"/>
        <v>0.53514889218995876</v>
      </c>
      <c r="AH455" s="173">
        <f t="shared" si="2023"/>
        <v>0.40172882287823075</v>
      </c>
      <c r="AI455" s="173">
        <f t="shared" si="2024"/>
        <v>0.50997533913871829</v>
      </c>
      <c r="AJ455" s="173">
        <f t="shared" si="2025"/>
        <v>0.44154512970470994</v>
      </c>
      <c r="AK455" s="173">
        <f t="shared" si="2026"/>
        <v>0.42249686839738376</v>
      </c>
      <c r="AL455" s="173">
        <f t="shared" si="2027"/>
        <v>0.30793557302761698</v>
      </c>
      <c r="AM455" s="173">
        <f t="shared" si="2028"/>
        <v>0.14466263719520334</v>
      </c>
      <c r="AP455" s="173">
        <f t="shared" si="2029"/>
        <v>6.9732287578594878</v>
      </c>
      <c r="AQ455" s="173">
        <f t="shared" si="2029"/>
        <v>8.7073051223949225</v>
      </c>
      <c r="AR455" s="173">
        <f t="shared" si="2029"/>
        <v>1.0185157143199057</v>
      </c>
      <c r="AS455" s="173">
        <f t="shared" si="2029"/>
        <v>0.52397910614851662</v>
      </c>
      <c r="AT455" s="173">
        <f t="shared" si="2029"/>
        <v>7.7016657817355894E-2</v>
      </c>
      <c r="AU455" s="173">
        <f t="shared" si="2029"/>
        <v>0.20828075786288913</v>
      </c>
      <c r="AV455" s="173">
        <f t="shared" si="2029"/>
        <v>0.52984013062900015</v>
      </c>
      <c r="AW455" s="173">
        <f t="shared" si="2029"/>
        <v>0.47286641583928102</v>
      </c>
      <c r="AX455" s="173">
        <f t="shared" si="2029"/>
        <v>0.30353974492449187</v>
      </c>
    </row>
    <row r="456" spans="2:50" x14ac:dyDescent="0.2">
      <c r="B456" s="30"/>
      <c r="L456" s="173"/>
      <c r="M456" s="173"/>
      <c r="N456" s="173"/>
      <c r="O456" s="173"/>
      <c r="P456" s="173"/>
      <c r="Q456" s="173"/>
      <c r="R456" s="173"/>
      <c r="S456" s="173"/>
      <c r="T456" s="173"/>
      <c r="U456" s="173"/>
      <c r="V456" s="173"/>
      <c r="W456" s="173"/>
      <c r="X456" s="173"/>
      <c r="Y456" s="173"/>
      <c r="Z456" s="173"/>
      <c r="AA456" s="173"/>
      <c r="AB456" s="173"/>
      <c r="AC456" s="173"/>
      <c r="AD456" s="173"/>
      <c r="AE456" s="173"/>
    </row>
    <row r="457" spans="2:50" x14ac:dyDescent="0.2">
      <c r="B457" s="19" t="s">
        <v>261</v>
      </c>
      <c r="L457" s="173"/>
      <c r="M457" s="173"/>
      <c r="N457" s="173"/>
      <c r="O457" s="173"/>
      <c r="P457" s="173"/>
      <c r="Q457" s="173"/>
      <c r="R457" s="173"/>
      <c r="S457" s="173"/>
      <c r="T457" s="173"/>
      <c r="U457" s="173"/>
      <c r="V457" s="173"/>
      <c r="W457" s="173"/>
      <c r="X457" s="173"/>
      <c r="Y457" s="173"/>
      <c r="Z457" s="173"/>
      <c r="AA457" s="173"/>
      <c r="AB457" s="173"/>
      <c r="AC457" s="173"/>
      <c r="AD457" s="173"/>
      <c r="AE457" s="173"/>
    </row>
    <row r="458" spans="2:50" x14ac:dyDescent="0.2">
      <c r="B458" s="20" t="s">
        <v>414</v>
      </c>
      <c r="I458" s="173">
        <f>IFERROR(I448/H448-1,"n/a")</f>
        <v>1.4159741041359708</v>
      </c>
      <c r="J458" s="173">
        <f t="shared" ref="J458:Y460" si="2031">IFERROR(J448/I448-1,"n/a")</f>
        <v>3.7685263930592017E-2</v>
      </c>
      <c r="K458" s="173">
        <f t="shared" si="2031"/>
        <v>0.9126886286439726</v>
      </c>
      <c r="L458" s="173">
        <f t="shared" si="2031"/>
        <v>-0.19529674407120556</v>
      </c>
      <c r="M458" s="173">
        <f t="shared" si="2031"/>
        <v>0.25615931699371908</v>
      </c>
      <c r="N458" s="173">
        <f t="shared" si="2031"/>
        <v>0.13475476496287553</v>
      </c>
      <c r="O458" s="173">
        <f t="shared" si="2031"/>
        <v>0.350601450249165</v>
      </c>
      <c r="P458" s="173">
        <f t="shared" si="2031"/>
        <v>-0.21807640399496109</v>
      </c>
      <c r="Q458" s="173">
        <f t="shared" si="2031"/>
        <v>0.25467308305856839</v>
      </c>
      <c r="R458" s="173">
        <f t="shared" si="2031"/>
        <v>9.8430828734791476E-2</v>
      </c>
      <c r="S458" s="173">
        <f t="shared" si="2031"/>
        <v>0.48262683128508632</v>
      </c>
      <c r="T458" s="173">
        <f t="shared" si="2031"/>
        <v>-0.12037745994274873</v>
      </c>
      <c r="U458" s="173">
        <f t="shared" si="2031"/>
        <v>-0.21212845501359123</v>
      </c>
      <c r="V458" s="173">
        <f t="shared" si="2031"/>
        <v>-3.3827942352578355E-2</v>
      </c>
      <c r="W458" s="173">
        <f t="shared" si="2031"/>
        <v>0.1195366353100642</v>
      </c>
      <c r="X458" s="173">
        <f t="shared" si="2031"/>
        <v>-9.5527937074686431E-3</v>
      </c>
      <c r="Y458" s="173">
        <f t="shared" si="2031"/>
        <v>1.0442749242556726E-2</v>
      </c>
      <c r="Z458" s="173">
        <f t="shared" ref="Z458:AH458" si="2032">IFERROR(Z448/Y448-1,"n/a")</f>
        <v>0.14242741568518547</v>
      </c>
      <c r="AA458" s="173">
        <f t="shared" si="2032"/>
        <v>0.20700043494366294</v>
      </c>
      <c r="AB458" s="173">
        <f t="shared" si="2032"/>
        <v>-0.15309586708319789</v>
      </c>
      <c r="AC458" s="173">
        <f t="shared" si="2032"/>
        <v>4.4695045827050306E-2</v>
      </c>
      <c r="AD458" s="173">
        <f t="shared" si="2032"/>
        <v>0.10497077910534314</v>
      </c>
      <c r="AE458" s="173">
        <f t="shared" si="2032"/>
        <v>0.18654280045309224</v>
      </c>
      <c r="AF458" s="173">
        <f t="shared" si="2032"/>
        <v>-0.13849407168808059</v>
      </c>
      <c r="AG458" s="173">
        <f t="shared" si="2032"/>
        <v>4.4695045827050306E-2</v>
      </c>
      <c r="AH458" s="173">
        <f t="shared" si="2032"/>
        <v>0.10497077910534314</v>
      </c>
      <c r="AI458" s="173">
        <f t="shared" ref="AI458" si="2033">IFERROR(AI448/AH448-1,"n/a")</f>
        <v>0.31726361745216169</v>
      </c>
      <c r="AJ458" s="173">
        <f t="shared" ref="AJ458:AJ460" si="2034">IFERROR(AJ448/AI448-1,"n/a")</f>
        <v>-0.14507045282023268</v>
      </c>
      <c r="AK458" s="173">
        <f t="shared" ref="AK458:AK460" si="2035">IFERROR(AK448/AJ448-1,"n/a")</f>
        <v>2.8622814352788017E-2</v>
      </c>
      <c r="AL458" s="173">
        <f t="shared" ref="AL458:AL460" si="2036">IFERROR(AL448/AK448-1,"n/a")</f>
        <v>7.9073026470061869E-2</v>
      </c>
      <c r="AM458" s="173">
        <f t="shared" ref="AM458:AM460" si="2037">IFERROR(AM448/AL448-1,"n/a")</f>
        <v>0.21188252805598884</v>
      </c>
    </row>
    <row r="459" spans="2:50" ht="13.5" x14ac:dyDescent="0.35">
      <c r="B459" s="20" t="s">
        <v>415</v>
      </c>
      <c r="I459" s="180" t="str">
        <f t="shared" ref="I459:X460" si="2038">IFERROR(I449/H449-1,"n/a")</f>
        <v>n/a</v>
      </c>
      <c r="J459" s="180" t="str">
        <f t="shared" si="2038"/>
        <v>n/a</v>
      </c>
      <c r="K459" s="180" t="str">
        <f t="shared" si="2038"/>
        <v>n/a</v>
      </c>
      <c r="L459" s="180" t="str">
        <f t="shared" si="2038"/>
        <v>n/a</v>
      </c>
      <c r="M459" s="180" t="str">
        <f t="shared" si="2038"/>
        <v>n/a</v>
      </c>
      <c r="N459" s="180" t="str">
        <f t="shared" si="2038"/>
        <v>n/a</v>
      </c>
      <c r="O459" s="180" t="str">
        <f t="shared" si="2038"/>
        <v>n/a</v>
      </c>
      <c r="P459" s="180" t="str">
        <f t="shared" si="2038"/>
        <v>n/a</v>
      </c>
      <c r="Q459" s="180" t="str">
        <f t="shared" si="2038"/>
        <v>n/a</v>
      </c>
      <c r="R459" s="180" t="str">
        <f t="shared" si="2038"/>
        <v>n/a</v>
      </c>
      <c r="S459" s="180" t="str">
        <f t="shared" si="2038"/>
        <v>n/a</v>
      </c>
      <c r="T459" s="180" t="str">
        <f t="shared" si="2038"/>
        <v>n/a</v>
      </c>
      <c r="U459" s="180" t="str">
        <f t="shared" si="2038"/>
        <v>n/a</v>
      </c>
      <c r="V459" s="180" t="str">
        <f t="shared" si="2038"/>
        <v>n/a</v>
      </c>
      <c r="W459" s="180" t="str">
        <f t="shared" si="2038"/>
        <v>n/a</v>
      </c>
      <c r="X459" s="180" t="str">
        <f t="shared" si="2038"/>
        <v>n/a</v>
      </c>
      <c r="Y459" s="180" t="str">
        <f t="shared" si="2031"/>
        <v>n/a</v>
      </c>
      <c r="Z459" s="180" t="str">
        <f t="shared" ref="Z459:AH459" si="2039">IFERROR(Z449/Y449-1,"n/a")</f>
        <v>n/a</v>
      </c>
      <c r="AA459" s="180">
        <f t="shared" si="2039"/>
        <v>1.1192839073786254</v>
      </c>
      <c r="AB459" s="180">
        <f t="shared" si="2039"/>
        <v>0.38010688520904345</v>
      </c>
      <c r="AC459" s="180">
        <f t="shared" si="2039"/>
        <v>6.9372758428889458E-2</v>
      </c>
      <c r="AD459" s="180">
        <f t="shared" si="2039"/>
        <v>1.0009800526738628</v>
      </c>
      <c r="AE459" s="180">
        <f t="shared" si="2039"/>
        <v>0.3322156045050586</v>
      </c>
      <c r="AF459" s="180">
        <f t="shared" si="2039"/>
        <v>-0.12241781227442727</v>
      </c>
      <c r="AG459" s="180">
        <f t="shared" si="2039"/>
        <v>0.25667953762508788</v>
      </c>
      <c r="AH459" s="180">
        <f t="shared" si="2039"/>
        <v>0.28369271470733248</v>
      </c>
      <c r="AI459" s="180">
        <f t="shared" ref="AI459" si="2040">IFERROR(AI449/AH449-1,"n/a")</f>
        <v>0.34137849869755499</v>
      </c>
      <c r="AJ459" s="180">
        <f t="shared" si="2034"/>
        <v>-0.20890157691697153</v>
      </c>
      <c r="AK459" s="180">
        <f t="shared" si="2035"/>
        <v>0.21033180518815175</v>
      </c>
      <c r="AL459" s="180">
        <f t="shared" si="2036"/>
        <v>8.0000000000000071E-2</v>
      </c>
      <c r="AM459" s="180">
        <f t="shared" si="2037"/>
        <v>0.10000000000000031</v>
      </c>
    </row>
    <row r="460" spans="2:50" x14ac:dyDescent="0.2">
      <c r="B460" s="30" t="s">
        <v>416</v>
      </c>
      <c r="I460" s="173">
        <f t="shared" si="2038"/>
        <v>1.4159741041359708</v>
      </c>
      <c r="J460" s="173">
        <f t="shared" si="2031"/>
        <v>3.7685263930592017E-2</v>
      </c>
      <c r="K460" s="173">
        <f t="shared" si="2031"/>
        <v>0.9126886286439726</v>
      </c>
      <c r="L460" s="173">
        <f t="shared" si="2031"/>
        <v>-0.19529674407120556</v>
      </c>
      <c r="M460" s="173">
        <f t="shared" si="2031"/>
        <v>0.25615931699371908</v>
      </c>
      <c r="N460" s="173">
        <f t="shared" si="2031"/>
        <v>0.13475476496287553</v>
      </c>
      <c r="O460" s="173">
        <f t="shared" si="2031"/>
        <v>0.350601450249165</v>
      </c>
      <c r="P460" s="173">
        <f t="shared" si="2031"/>
        <v>-0.21807640399496109</v>
      </c>
      <c r="Q460" s="173">
        <f t="shared" si="2031"/>
        <v>0.25467308305856839</v>
      </c>
      <c r="R460" s="173">
        <f t="shared" si="2031"/>
        <v>9.8430828734791476E-2</v>
      </c>
      <c r="S460" s="173">
        <f t="shared" si="2031"/>
        <v>0.48262683128508632</v>
      </c>
      <c r="T460" s="173">
        <f t="shared" si="2031"/>
        <v>-0.12037745994274873</v>
      </c>
      <c r="U460" s="173">
        <f t="shared" si="2031"/>
        <v>-0.21212845501359123</v>
      </c>
      <c r="V460" s="173">
        <f t="shared" si="2031"/>
        <v>-3.3827942352578355E-2</v>
      </c>
      <c r="W460" s="173">
        <f t="shared" si="2031"/>
        <v>0.1195366353100642</v>
      </c>
      <c r="X460" s="173">
        <f t="shared" si="2031"/>
        <v>-9.5527937074686431E-3</v>
      </c>
      <c r="Y460" s="173">
        <f t="shared" si="2031"/>
        <v>1.0442749242556726E-2</v>
      </c>
      <c r="Z460" s="173">
        <f t="shared" ref="Z460:AH460" si="2041">IFERROR(Z450/Y450-1,"n/a")</f>
        <v>0.24104312066754519</v>
      </c>
      <c r="AA460" s="173">
        <f t="shared" si="2041"/>
        <v>0.27949225757230556</v>
      </c>
      <c r="AB460" s="173">
        <f t="shared" si="2041"/>
        <v>-8.2917530052333932E-2</v>
      </c>
      <c r="AC460" s="173">
        <f t="shared" si="2041"/>
        <v>4.9582918936535769E-2</v>
      </c>
      <c r="AD460" s="173">
        <f t="shared" si="2041"/>
        <v>0.2857880406694111</v>
      </c>
      <c r="AE460" s="173">
        <f t="shared" si="2041"/>
        <v>0.23229155130930312</v>
      </c>
      <c r="AF460" s="173">
        <f t="shared" si="2041"/>
        <v>-0.13303590478931349</v>
      </c>
      <c r="AG460" s="173">
        <f t="shared" si="2041"/>
        <v>0.11754890871253232</v>
      </c>
      <c r="AH460" s="173">
        <f t="shared" si="2041"/>
        <v>0.17403996829736879</v>
      </c>
      <c r="AI460" s="173">
        <f t="shared" ref="AI460" si="2042">IFERROR(AI450/AH450-1,"n/a")</f>
        <v>0.32745351507099985</v>
      </c>
      <c r="AJ460" s="173">
        <f t="shared" si="2034"/>
        <v>-0.17232564222361635</v>
      </c>
      <c r="AK460" s="173">
        <f t="shared" si="2035"/>
        <v>0.10278186243820997</v>
      </c>
      <c r="AL460" s="173">
        <f t="shared" si="2036"/>
        <v>7.9488238467863681E-2</v>
      </c>
      <c r="AM460" s="173">
        <f t="shared" si="2037"/>
        <v>0.16174410471755651</v>
      </c>
    </row>
    <row r="461" spans="2:50" x14ac:dyDescent="0.2">
      <c r="B461" s="38"/>
    </row>
    <row r="462" spans="2:50" x14ac:dyDescent="0.2">
      <c r="B462" s="19" t="s">
        <v>94</v>
      </c>
    </row>
    <row r="463" spans="2:50" x14ac:dyDescent="0.2">
      <c r="B463" s="20" t="s">
        <v>414</v>
      </c>
      <c r="H463" s="196">
        <f>IFERROR(H448/H388,"n/a")</f>
        <v>0.87841433362896559</v>
      </c>
      <c r="I463" s="196">
        <f t="shared" ref="I463:Y463" si="2043">IFERROR(I448/I388,"n/a")</f>
        <v>1.0846781486914581</v>
      </c>
      <c r="J463" s="196">
        <f t="shared" si="2043"/>
        <v>0.90415215432962348</v>
      </c>
      <c r="K463" s="196">
        <f t="shared" si="2043"/>
        <v>1.03151935948179</v>
      </c>
      <c r="L463" s="196">
        <f t="shared" si="2043"/>
        <v>1.032546393957235</v>
      </c>
      <c r="M463" s="196">
        <f t="shared" si="2043"/>
        <v>0.80868553230668616</v>
      </c>
      <c r="N463" s="196">
        <f t="shared" si="2043"/>
        <v>0.8903105265035105</v>
      </c>
      <c r="O463" s="196">
        <f t="shared" si="2043"/>
        <v>0.83715476516312937</v>
      </c>
      <c r="P463" s="196">
        <f t="shared" si="2043"/>
        <v>1.0800731196584528</v>
      </c>
      <c r="Q463" s="196">
        <f t="shared" si="2043"/>
        <v>0.72695915753837248</v>
      </c>
      <c r="R463" s="196">
        <f t="shared" si="2043"/>
        <v>0.68519960404740909</v>
      </c>
      <c r="S463" s="196">
        <f t="shared" si="2043"/>
        <v>0.54376258983402304</v>
      </c>
      <c r="T463" s="196">
        <f t="shared" si="2043"/>
        <v>0.57282750440190655</v>
      </c>
      <c r="U463" s="196">
        <f t="shared" si="2043"/>
        <v>0.43409865045113682</v>
      </c>
      <c r="V463" s="196">
        <f t="shared" si="2043"/>
        <v>0.449456698991963</v>
      </c>
      <c r="W463" s="196">
        <f t="shared" si="2043"/>
        <v>0.39739237781014769</v>
      </c>
      <c r="X463" s="196">
        <f t="shared" si="2043"/>
        <v>0.45045402585534344</v>
      </c>
      <c r="Y463" s="196">
        <f t="shared" si="2043"/>
        <v>0.34446681964586795</v>
      </c>
      <c r="Z463" s="196">
        <f t="shared" ref="Z463:AI463" si="2044">IFERROR(Z448/Z388,"n/a")</f>
        <v>0.34847496123286914</v>
      </c>
      <c r="AA463" s="196">
        <f t="shared" si="2044"/>
        <v>0.37916803485991679</v>
      </c>
      <c r="AB463" s="196">
        <f t="shared" si="2044"/>
        <v>0.34948038908327034</v>
      </c>
      <c r="AC463" s="196">
        <f t="shared" si="2044"/>
        <v>0.27639884192563641</v>
      </c>
      <c r="AD463" s="196">
        <f t="shared" si="2044"/>
        <v>0.29276874038957484</v>
      </c>
      <c r="AE463" s="196">
        <f t="shared" si="2044"/>
        <v>0.27801802766801975</v>
      </c>
      <c r="AF463" s="196">
        <f t="shared" ref="AF463:AG463" si="2045">IFERROR(AF448/AF388,"n/a")</f>
        <v>0.27562824916285605</v>
      </c>
      <c r="AG463" s="196">
        <f t="shared" si="2045"/>
        <v>0.25361234149461698</v>
      </c>
      <c r="AH463" s="196">
        <f t="shared" ref="AH463" si="2046">IFERROR(AH448/AH388,"n/a")</f>
        <v>0.28277300492558816</v>
      </c>
      <c r="AI463" s="196">
        <f t="shared" si="2044"/>
        <v>0.33571631839787003</v>
      </c>
      <c r="AJ463" s="196">
        <f t="shared" ref="AJ463:AM463" si="2047">IFERROR(AJ448/AJ388,"n/a")</f>
        <v>0.33958537956271029</v>
      </c>
      <c r="AK463" s="196">
        <f t="shared" si="2047"/>
        <v>0.30737490010619706</v>
      </c>
      <c r="AL463" s="196">
        <f t="shared" si="2047"/>
        <v>0.31145563971087203</v>
      </c>
      <c r="AM463" s="196">
        <f t="shared" si="2047"/>
        <v>0.33495545492237305</v>
      </c>
      <c r="AO463" s="196">
        <f t="shared" ref="AO463:AW463" si="2048">IFERROR(AO448/AO388,"n/a")</f>
        <v>0.33360865500411996</v>
      </c>
      <c r="AP463" s="196">
        <f t="shared" si="2048"/>
        <v>0.76998192739307225</v>
      </c>
      <c r="AQ463" s="196">
        <f t="shared" si="2048"/>
        <v>0.99359892804796335</v>
      </c>
      <c r="AR463" s="196">
        <f t="shared" si="2048"/>
        <v>0.87298409263441579</v>
      </c>
      <c r="AS463" s="196">
        <f t="shared" si="2048"/>
        <v>0.67405941972066274</v>
      </c>
      <c r="AT463" s="196">
        <f t="shared" si="2048"/>
        <v>0.45970760023590851</v>
      </c>
      <c r="AU463" s="196">
        <f t="shared" si="2048"/>
        <v>0.37544407190651069</v>
      </c>
      <c r="AV463" s="196">
        <f t="shared" si="2048"/>
        <v>0.29455655187838037</v>
      </c>
      <c r="AW463" s="196">
        <f t="shared" si="2048"/>
        <v>0.28850436266352808</v>
      </c>
      <c r="AX463" s="196">
        <f t="shared" ref="AX463" si="2049">IFERROR(AX448/AX388,"n/a")</f>
        <v>0.32324664241520323</v>
      </c>
    </row>
    <row r="464" spans="2:50" ht="13.5" x14ac:dyDescent="0.35">
      <c r="B464" s="20" t="s">
        <v>415</v>
      </c>
      <c r="H464" s="198" t="str">
        <f t="shared" ref="H464:H465" si="2050">IFERROR(H449/H389,"n/a")</f>
        <v>n/a</v>
      </c>
      <c r="I464" s="198" t="str">
        <f t="shared" ref="I464:Y464" si="2051">IFERROR(I449/I389,"n/a")</f>
        <v>n/a</v>
      </c>
      <c r="J464" s="198" t="str">
        <f t="shared" si="2051"/>
        <v>n/a</v>
      </c>
      <c r="K464" s="198" t="str">
        <f t="shared" si="2051"/>
        <v>n/a</v>
      </c>
      <c r="L464" s="198" t="str">
        <f t="shared" si="2051"/>
        <v>n/a</v>
      </c>
      <c r="M464" s="198" t="str">
        <f t="shared" si="2051"/>
        <v>n/a</v>
      </c>
      <c r="N464" s="198" t="str">
        <f t="shared" si="2051"/>
        <v>n/a</v>
      </c>
      <c r="O464" s="198" t="str">
        <f t="shared" si="2051"/>
        <v>n/a</v>
      </c>
      <c r="P464" s="198" t="str">
        <f t="shared" si="2051"/>
        <v>n/a</v>
      </c>
      <c r="Q464" s="198" t="str">
        <f t="shared" si="2051"/>
        <v>n/a</v>
      </c>
      <c r="R464" s="198" t="str">
        <f t="shared" si="2051"/>
        <v>n/a</v>
      </c>
      <c r="S464" s="198" t="str">
        <f t="shared" si="2051"/>
        <v>n/a</v>
      </c>
      <c r="T464" s="198" t="str">
        <f t="shared" si="2051"/>
        <v>n/a</v>
      </c>
      <c r="U464" s="198" t="str">
        <f t="shared" si="2051"/>
        <v>n/a</v>
      </c>
      <c r="V464" s="198" t="str">
        <f t="shared" si="2051"/>
        <v>n/a</v>
      </c>
      <c r="W464" s="198" t="str">
        <f t="shared" si="2051"/>
        <v>n/a</v>
      </c>
      <c r="X464" s="198" t="str">
        <f t="shared" si="2051"/>
        <v>n/a</v>
      </c>
      <c r="Y464" s="198" t="str">
        <f t="shared" si="2051"/>
        <v>n/a</v>
      </c>
      <c r="Z464" s="198" t="str">
        <f t="shared" ref="Z464:AE464" si="2052">IFERROR(Z449/Z389,"n/a")</f>
        <v>n/a</v>
      </c>
      <c r="AA464" s="198">
        <f t="shared" si="2052"/>
        <v>5.2000840504165424</v>
      </c>
      <c r="AB464" s="198">
        <f t="shared" si="2052"/>
        <v>2.1565528661265905</v>
      </c>
      <c r="AC464" s="198">
        <f t="shared" si="2052"/>
        <v>0.74586548539612307</v>
      </c>
      <c r="AD464" s="198">
        <f t="shared" si="2052"/>
        <v>0.35228201063033826</v>
      </c>
      <c r="AE464" s="198">
        <f t="shared" si="2052"/>
        <v>0.33510430624937254</v>
      </c>
      <c r="AF464" s="198">
        <f t="shared" ref="AF464:AG464" si="2053">IFERROR(AF449/AF389,"n/a")</f>
        <v>0.23921390825720662</v>
      </c>
      <c r="AG464" s="198">
        <f t="shared" si="2053"/>
        <v>0.27597136066651162</v>
      </c>
      <c r="AH464" s="198">
        <f t="shared" ref="AH464" si="2054">IFERROR(AH449/AH389,"n/a")</f>
        <v>0.32802076403284314</v>
      </c>
      <c r="AI464" s="205">
        <v>0.4</v>
      </c>
      <c r="AJ464" s="205">
        <v>0.35</v>
      </c>
      <c r="AK464" s="205">
        <v>0.35</v>
      </c>
      <c r="AL464" s="205">
        <v>0.35</v>
      </c>
      <c r="AM464" s="205">
        <v>0.35</v>
      </c>
      <c r="AO464" s="198" t="str">
        <f t="shared" ref="AO464:AW464" si="2055">IFERROR(AO449/AO389,"n/a")</f>
        <v>n/a</v>
      </c>
      <c r="AP464" s="198" t="str">
        <f t="shared" si="2055"/>
        <v>n/a</v>
      </c>
      <c r="AQ464" s="198" t="str">
        <f t="shared" si="2055"/>
        <v>n/a</v>
      </c>
      <c r="AR464" s="198" t="str">
        <f t="shared" si="2055"/>
        <v>n/a</v>
      </c>
      <c r="AS464" s="198" t="str">
        <f t="shared" si="2055"/>
        <v>n/a</v>
      </c>
      <c r="AT464" s="198" t="str">
        <f t="shared" si="2055"/>
        <v>n/a</v>
      </c>
      <c r="AU464" s="198">
        <f t="shared" si="2055"/>
        <v>7.6537826947140903</v>
      </c>
      <c r="AV464" s="198">
        <f t="shared" si="2055"/>
        <v>0.42843124742006677</v>
      </c>
      <c r="AW464" s="198">
        <f t="shared" si="2055"/>
        <v>0.31653857135719166</v>
      </c>
      <c r="AX464" s="198">
        <f t="shared" ref="AX464" si="2056">IFERROR(AX449/AX389,"n/a")</f>
        <v>0.34999999999999992</v>
      </c>
    </row>
    <row r="465" spans="2:50" x14ac:dyDescent="0.2">
      <c r="B465" s="30" t="s">
        <v>416</v>
      </c>
      <c r="H465" s="196">
        <f t="shared" si="2050"/>
        <v>0.87841433362896559</v>
      </c>
      <c r="I465" s="196">
        <f t="shared" ref="I465:Y465" si="2057">IFERROR(I450/I390,"n/a")</f>
        <v>1.0846781486914581</v>
      </c>
      <c r="J465" s="196">
        <f t="shared" si="2057"/>
        <v>0.90415215432962348</v>
      </c>
      <c r="K465" s="196">
        <f t="shared" si="2057"/>
        <v>1.03151935948179</v>
      </c>
      <c r="L465" s="196">
        <f t="shared" si="2057"/>
        <v>1.032546393957235</v>
      </c>
      <c r="M465" s="196">
        <f t="shared" si="2057"/>
        <v>0.80868553230668616</v>
      </c>
      <c r="N465" s="196">
        <f t="shared" si="2057"/>
        <v>0.8903105265035105</v>
      </c>
      <c r="O465" s="196">
        <f t="shared" si="2057"/>
        <v>0.83715476516312937</v>
      </c>
      <c r="P465" s="196">
        <f t="shared" si="2057"/>
        <v>1.0800731196584528</v>
      </c>
      <c r="Q465" s="196">
        <f t="shared" si="2057"/>
        <v>0.72695915753837248</v>
      </c>
      <c r="R465" s="196">
        <f t="shared" si="2057"/>
        <v>0.68519960404740909</v>
      </c>
      <c r="S465" s="196">
        <f t="shared" si="2057"/>
        <v>0.54376258983402304</v>
      </c>
      <c r="T465" s="196">
        <f t="shared" si="2057"/>
        <v>0.57282750440190655</v>
      </c>
      <c r="U465" s="196">
        <f t="shared" si="2057"/>
        <v>0.43409865045113682</v>
      </c>
      <c r="V465" s="196">
        <f t="shared" si="2057"/>
        <v>0.449456698991963</v>
      </c>
      <c r="W465" s="196">
        <f t="shared" si="2057"/>
        <v>0.39739237781014769</v>
      </c>
      <c r="X465" s="196">
        <f t="shared" si="2057"/>
        <v>0.45045402585534344</v>
      </c>
      <c r="Y465" s="196">
        <f t="shared" si="2057"/>
        <v>0.34446681964586795</v>
      </c>
      <c r="Z465" s="196">
        <f t="shared" ref="Z465:AI465" si="2058">IFERROR(Z450/Z390,"n/a")</f>
        <v>0.37855573791842245</v>
      </c>
      <c r="AA465" s="196">
        <f t="shared" si="2058"/>
        <v>0.43186393540456586</v>
      </c>
      <c r="AB465" s="196">
        <f t="shared" si="2058"/>
        <v>0.41902633176617199</v>
      </c>
      <c r="AC465" s="196">
        <f t="shared" si="2058"/>
        <v>0.31661526724904543</v>
      </c>
      <c r="AD465" s="196">
        <f t="shared" si="2058"/>
        <v>0.30917176492264981</v>
      </c>
      <c r="AE465" s="196">
        <f t="shared" si="2058"/>
        <v>0.29508517429972358</v>
      </c>
      <c r="AF465" s="196">
        <f t="shared" ref="AF465:AG465" si="2059">IFERROR(AF450/AF390,"n/a")</f>
        <v>0.26192536223567736</v>
      </c>
      <c r="AG465" s="196">
        <f t="shared" si="2059"/>
        <v>0.26180983709884192</v>
      </c>
      <c r="AH465" s="196">
        <f t="shared" ref="AH465" si="2060">IFERROR(AH450/AH390,"n/a")</f>
        <v>0.30027551572677691</v>
      </c>
      <c r="AI465" s="196">
        <f t="shared" si="2058"/>
        <v>0.36045083931429356</v>
      </c>
      <c r="AJ465" s="196">
        <f t="shared" ref="AJ465:AM465" si="2061">IFERROR(AJ450/AJ390,"n/a")</f>
        <v>0.34376001438308673</v>
      </c>
      <c r="AK465" s="196">
        <f t="shared" si="2061"/>
        <v>0.32510985383038049</v>
      </c>
      <c r="AL465" s="196">
        <f t="shared" si="2061"/>
        <v>0.32762442804005687</v>
      </c>
      <c r="AM465" s="196">
        <f t="shared" si="2061"/>
        <v>0.3411782129751087</v>
      </c>
      <c r="AO465" s="196">
        <f t="shared" ref="AO465:AW465" si="2062">IFERROR(AO450/AO390,"n/a")</f>
        <v>0.33360865500411996</v>
      </c>
      <c r="AP465" s="196">
        <f t="shared" si="2062"/>
        <v>0.76998192739307225</v>
      </c>
      <c r="AQ465" s="196">
        <f t="shared" si="2062"/>
        <v>0.99359892804796346</v>
      </c>
      <c r="AR465" s="196">
        <f t="shared" si="2062"/>
        <v>0.8729840926344159</v>
      </c>
      <c r="AS465" s="196">
        <f t="shared" si="2062"/>
        <v>0.67405941972066274</v>
      </c>
      <c r="AT465" s="196">
        <f t="shared" si="2062"/>
        <v>0.45970760023590851</v>
      </c>
      <c r="AU465" s="196">
        <f t="shared" si="2062"/>
        <v>0.3997089973835225</v>
      </c>
      <c r="AV465" s="196">
        <f t="shared" si="2062"/>
        <v>0.3223834166322736</v>
      </c>
      <c r="AW465" s="196">
        <f t="shared" si="2062"/>
        <v>0.29912761469082916</v>
      </c>
      <c r="AX465" s="196">
        <f t="shared" ref="AX465" si="2063">IFERROR(AX450/AX390,"n/a")</f>
        <v>0.33429794315020073</v>
      </c>
    </row>
    <row r="466" spans="2:50" x14ac:dyDescent="0.2">
      <c r="B466" s="30"/>
      <c r="H466" s="196"/>
      <c r="I466" s="196"/>
      <c r="J466" s="196"/>
      <c r="K466" s="196"/>
      <c r="L466" s="196"/>
      <c r="M466" s="196"/>
      <c r="N466" s="196"/>
      <c r="O466" s="196"/>
      <c r="P466" s="196"/>
      <c r="Q466" s="196"/>
      <c r="R466" s="196"/>
      <c r="S466" s="196"/>
      <c r="T466" s="196"/>
      <c r="U466" s="196"/>
      <c r="V466" s="196"/>
      <c r="W466" s="196"/>
      <c r="X466" s="196"/>
      <c r="Y466" s="196"/>
      <c r="Z466" s="196"/>
      <c r="AA466" s="196"/>
      <c r="AB466" s="196"/>
      <c r="AC466" s="196"/>
      <c r="AD466" s="196"/>
      <c r="AE466" s="196"/>
      <c r="AF466" s="196"/>
      <c r="AG466" s="196"/>
      <c r="AH466" s="196"/>
      <c r="AI466" s="196"/>
      <c r="AJ466" s="196"/>
      <c r="AK466" s="196"/>
      <c r="AL466" s="196"/>
      <c r="AM466" s="196"/>
      <c r="AO466" s="196"/>
      <c r="AP466" s="196"/>
      <c r="AQ466" s="196"/>
      <c r="AR466" s="196"/>
      <c r="AS466" s="196"/>
      <c r="AT466" s="196"/>
      <c r="AU466" s="196"/>
      <c r="AV466" s="196"/>
      <c r="AW466" s="196"/>
      <c r="AX466" s="196"/>
    </row>
    <row r="467" spans="2:50" x14ac:dyDescent="0.2">
      <c r="B467" s="24" t="s">
        <v>89</v>
      </c>
    </row>
    <row r="468" spans="2:50" x14ac:dyDescent="0.2">
      <c r="B468" t="s">
        <v>417</v>
      </c>
      <c r="H468" s="10">
        <f>+IFERROR(H470-H469,"n/a")</f>
        <v>65.736999999999995</v>
      </c>
      <c r="I468" s="10">
        <f t="shared" ref="I468:AE468" si="2064">+IFERROR(I470-I469,"n/a")</f>
        <v>169.047</v>
      </c>
      <c r="J468" s="10">
        <f t="shared" si="2064"/>
        <v>298.34500000000003</v>
      </c>
      <c r="K468" s="10">
        <f t="shared" si="2064"/>
        <v>446.83399999999995</v>
      </c>
      <c r="L468" s="10">
        <f t="shared" si="2064"/>
        <v>537.85400000000004</v>
      </c>
      <c r="M468" s="10">
        <f t="shared" si="2064"/>
        <v>610.84799999999996</v>
      </c>
      <c r="N468" s="10">
        <f t="shared" si="2064"/>
        <v>892.452</v>
      </c>
      <c r="O468" s="10">
        <f t="shared" si="2064"/>
        <v>942.83600000000001</v>
      </c>
      <c r="P468" s="10">
        <f t="shared" si="2064"/>
        <v>1124.211</v>
      </c>
      <c r="Q468" s="10">
        <f t="shared" si="2064"/>
        <v>1265.2</v>
      </c>
      <c r="R468" s="10">
        <f t="shared" si="2064"/>
        <v>1424.723</v>
      </c>
      <c r="S468" s="10">
        <f t="shared" si="2064"/>
        <v>1557.299</v>
      </c>
      <c r="T468" s="10">
        <f t="shared" si="2064"/>
        <v>1740.951</v>
      </c>
      <c r="U468" s="10">
        <f t="shared" si="2064"/>
        <v>1752.415</v>
      </c>
      <c r="V468" s="10">
        <f t="shared" si="2064"/>
        <v>1851.4919999999997</v>
      </c>
      <c r="W468" s="10">
        <f t="shared" si="2064"/>
        <v>1304.2659999999996</v>
      </c>
      <c r="X468" s="10">
        <f t="shared" si="2064"/>
        <v>2039.3389999999999</v>
      </c>
      <c r="Y468" s="10">
        <f t="shared" si="2064"/>
        <v>1948.585</v>
      </c>
      <c r="Z468" s="10">
        <f t="shared" si="2064"/>
        <v>2127.8389999999999</v>
      </c>
      <c r="AA468" s="10">
        <f t="shared" si="2064"/>
        <v>1747.3790000000006</v>
      </c>
      <c r="AB468" s="10">
        <f t="shared" si="2064"/>
        <v>1977.4580000000001</v>
      </c>
      <c r="AC468" s="10">
        <f t="shared" si="2064"/>
        <v>2086.7359999999999</v>
      </c>
      <c r="AD468" s="10">
        <f t="shared" si="2064"/>
        <v>2217.9290000000001</v>
      </c>
      <c r="AE468" s="10">
        <f t="shared" si="2064"/>
        <v>2367.2959999999998</v>
      </c>
      <c r="AF468" s="10">
        <f t="shared" ref="AF468:AG468" si="2065">+IFERROR(AF470-AF469,"n/a")</f>
        <v>2272.7349999999997</v>
      </c>
      <c r="AG468" s="10">
        <f t="shared" si="2065"/>
        <v>2407.1120000000001</v>
      </c>
      <c r="AH468" s="10">
        <f t="shared" ref="AH468" si="2066">+IFERROR(AH470-AH469,"n/a")</f>
        <v>2438.7939999999999</v>
      </c>
      <c r="AI468" s="58">
        <v>2800</v>
      </c>
      <c r="AJ468" s="58">
        <v>3000</v>
      </c>
      <c r="AK468" s="58">
        <v>3200</v>
      </c>
      <c r="AL468" s="58">
        <v>3200</v>
      </c>
      <c r="AM468" s="58">
        <v>3200</v>
      </c>
      <c r="AO468" s="10">
        <f t="shared" ref="AO468:AP468" si="2067">+IFERROR(AO470-AO469,"n/a")</f>
        <v>27.672999999999998</v>
      </c>
      <c r="AP468" s="10">
        <f t="shared" si="2067"/>
        <v>123.28800000000001</v>
      </c>
      <c r="AQ468" s="14">
        <f>+SUM(H468:K468)</f>
        <v>979.96299999999997</v>
      </c>
      <c r="AR468" s="14">
        <f>+SUM(L468:O468)</f>
        <v>2983.99</v>
      </c>
      <c r="AS468" s="14">
        <f>+SUM(P468:S468)</f>
        <v>5371.433</v>
      </c>
      <c r="AT468" s="14">
        <f>+SUM(T468:W468)</f>
        <v>6649.1239999999998</v>
      </c>
      <c r="AU468" s="14">
        <f>+SUM(X468:AA468)</f>
        <v>7863.1420000000007</v>
      </c>
      <c r="AV468" s="14">
        <f>+SUM(AB468:AE468)</f>
        <v>8649.4189999999999</v>
      </c>
      <c r="AW468" s="14">
        <f>+SUM(AF468:AI468)</f>
        <v>9918.6409999999996</v>
      </c>
      <c r="AX468" s="10">
        <f t="shared" ref="AX468:AX470" si="2068">+SUM(AJ468:AM468)</f>
        <v>12600</v>
      </c>
    </row>
    <row r="469" spans="2:50" ht="13.5" x14ac:dyDescent="0.35">
      <c r="B469" t="s">
        <v>418</v>
      </c>
      <c r="H469" s="13">
        <v>0</v>
      </c>
      <c r="I469" s="13">
        <v>0</v>
      </c>
      <c r="J469" s="13">
        <v>0</v>
      </c>
      <c r="K469" s="13">
        <v>0</v>
      </c>
      <c r="L469" s="13">
        <v>0</v>
      </c>
      <c r="M469" s="13">
        <v>0</v>
      </c>
      <c r="N469" s="13">
        <v>0</v>
      </c>
      <c r="O469" s="13">
        <v>0</v>
      </c>
      <c r="P469" s="13">
        <v>0</v>
      </c>
      <c r="Q469" s="13">
        <v>0</v>
      </c>
      <c r="R469" s="13">
        <v>0</v>
      </c>
      <c r="S469" s="13">
        <v>0</v>
      </c>
      <c r="T469" s="13">
        <v>0</v>
      </c>
      <c r="U469" s="13">
        <v>0</v>
      </c>
      <c r="V469" s="13">
        <v>0</v>
      </c>
      <c r="W469" s="13">
        <v>0</v>
      </c>
      <c r="X469" s="13">
        <v>0</v>
      </c>
      <c r="Y469" s="13">
        <v>0</v>
      </c>
      <c r="Z469" s="13">
        <v>0</v>
      </c>
      <c r="AA469" s="13">
        <v>0</v>
      </c>
      <c r="AB469" s="13">
        <v>0</v>
      </c>
      <c r="AC469" s="13">
        <v>0</v>
      </c>
      <c r="AD469" s="13">
        <v>0</v>
      </c>
      <c r="AE469" s="13">
        <v>0</v>
      </c>
      <c r="AF469" s="13">
        <v>0</v>
      </c>
      <c r="AG469" s="13">
        <v>0</v>
      </c>
      <c r="AH469" s="13">
        <v>0</v>
      </c>
      <c r="AI469" s="54">
        <v>0</v>
      </c>
      <c r="AJ469" s="54">
        <v>0</v>
      </c>
      <c r="AK469" s="54">
        <v>0</v>
      </c>
      <c r="AL469" s="54">
        <v>0</v>
      </c>
      <c r="AM469" s="54">
        <v>0</v>
      </c>
      <c r="AO469" s="13">
        <v>0</v>
      </c>
      <c r="AP469" s="13">
        <v>0</v>
      </c>
      <c r="AQ469" s="15">
        <f>+SUM(H469:K469)</f>
        <v>0</v>
      </c>
      <c r="AR469" s="15">
        <f>+SUM(L469:O469)</f>
        <v>0</v>
      </c>
      <c r="AS469" s="15">
        <f>+SUM(P469:S469)</f>
        <v>0</v>
      </c>
      <c r="AT469" s="15">
        <f>+SUM(T469:W469)</f>
        <v>0</v>
      </c>
      <c r="AU469" s="15">
        <f>+SUM(X469:AA469)</f>
        <v>0</v>
      </c>
      <c r="AV469" s="15">
        <f>+SUM(AB469:AE469)</f>
        <v>0</v>
      </c>
      <c r="AW469" s="15">
        <f>+SUM(AF469:AI469)</f>
        <v>0</v>
      </c>
      <c r="AX469" s="25">
        <f t="shared" si="2068"/>
        <v>0</v>
      </c>
    </row>
    <row r="470" spans="2:50" x14ac:dyDescent="0.2">
      <c r="B470" s="4" t="s">
        <v>419</v>
      </c>
      <c r="H470" s="10">
        <f t="shared" ref="H470:AH470" si="2069">+H45</f>
        <v>65.736999999999995</v>
      </c>
      <c r="I470" s="10">
        <f t="shared" si="2069"/>
        <v>169.047</v>
      </c>
      <c r="J470" s="10">
        <f t="shared" si="2069"/>
        <v>298.34500000000003</v>
      </c>
      <c r="K470" s="10">
        <f t="shared" si="2069"/>
        <v>446.83399999999995</v>
      </c>
      <c r="L470" s="10">
        <f t="shared" si="2069"/>
        <v>537.85400000000004</v>
      </c>
      <c r="M470" s="10">
        <f t="shared" si="2069"/>
        <v>610.84799999999996</v>
      </c>
      <c r="N470" s="10">
        <f t="shared" si="2069"/>
        <v>892.452</v>
      </c>
      <c r="O470" s="10">
        <f t="shared" si="2069"/>
        <v>942.83600000000001</v>
      </c>
      <c r="P470" s="10">
        <f t="shared" si="2069"/>
        <v>1124.211</v>
      </c>
      <c r="Q470" s="10">
        <f t="shared" si="2069"/>
        <v>1265.2</v>
      </c>
      <c r="R470" s="10">
        <f t="shared" si="2069"/>
        <v>1424.723</v>
      </c>
      <c r="S470" s="10">
        <f t="shared" si="2069"/>
        <v>1557.299</v>
      </c>
      <c r="T470" s="10">
        <f t="shared" si="2069"/>
        <v>1740.951</v>
      </c>
      <c r="U470" s="10">
        <f t="shared" si="2069"/>
        <v>1752.415</v>
      </c>
      <c r="V470" s="10">
        <f t="shared" si="2069"/>
        <v>1851.4919999999997</v>
      </c>
      <c r="W470" s="10">
        <f t="shared" si="2069"/>
        <v>1304.2659999999996</v>
      </c>
      <c r="X470" s="10">
        <f t="shared" si="2069"/>
        <v>2039.3389999999999</v>
      </c>
      <c r="Y470" s="10">
        <f t="shared" si="2069"/>
        <v>1948.585</v>
      </c>
      <c r="Z470" s="10">
        <f t="shared" si="2069"/>
        <v>2127.8389999999999</v>
      </c>
      <c r="AA470" s="10">
        <f t="shared" si="2069"/>
        <v>1747.3790000000006</v>
      </c>
      <c r="AB470" s="10">
        <f t="shared" si="2069"/>
        <v>1977.4580000000001</v>
      </c>
      <c r="AC470" s="10">
        <f t="shared" si="2069"/>
        <v>2086.7359999999999</v>
      </c>
      <c r="AD470" s="10">
        <f t="shared" si="2069"/>
        <v>2217.9290000000001</v>
      </c>
      <c r="AE470" s="10">
        <f t="shared" si="2069"/>
        <v>2367.2959999999998</v>
      </c>
      <c r="AF470" s="10">
        <f t="shared" si="2069"/>
        <v>2272.7349999999997</v>
      </c>
      <c r="AG470" s="10">
        <f t="shared" si="2069"/>
        <v>2407.1120000000001</v>
      </c>
      <c r="AH470" s="10">
        <f t="shared" si="2069"/>
        <v>2438.7939999999999</v>
      </c>
      <c r="AI470" s="10">
        <f t="shared" ref="AI470:AM470" si="2070">IFERROR(AI468+AI469,"n/a")</f>
        <v>2800</v>
      </c>
      <c r="AJ470" s="10">
        <f t="shared" si="2070"/>
        <v>3000</v>
      </c>
      <c r="AK470" s="10">
        <f t="shared" si="2070"/>
        <v>3200</v>
      </c>
      <c r="AL470" s="10">
        <f t="shared" si="2070"/>
        <v>3200</v>
      </c>
      <c r="AM470" s="10">
        <f t="shared" si="2070"/>
        <v>3200</v>
      </c>
      <c r="AO470" s="10">
        <f>+AO45</f>
        <v>27.672999999999998</v>
      </c>
      <c r="AP470" s="10">
        <f>+AP45</f>
        <v>123.28800000000001</v>
      </c>
      <c r="AQ470" s="14">
        <f>+SUM(H470:K470)</f>
        <v>979.96299999999997</v>
      </c>
      <c r="AR470" s="14">
        <f>+SUM(L470:O470)</f>
        <v>2983.99</v>
      </c>
      <c r="AS470" s="14">
        <f>+SUM(P470:S470)</f>
        <v>5371.433</v>
      </c>
      <c r="AT470" s="14">
        <f>+SUM(T470:W470)</f>
        <v>6649.1239999999998</v>
      </c>
      <c r="AU470" s="14">
        <f>+SUM(X470:AA470)</f>
        <v>7863.1420000000007</v>
      </c>
      <c r="AV470" s="14">
        <f>+SUM(AB470:AE470)</f>
        <v>8649.4189999999999</v>
      </c>
      <c r="AW470" s="14">
        <f>+SUM(AF470:AI470)</f>
        <v>9918.6409999999996</v>
      </c>
      <c r="AX470" s="10">
        <f t="shared" si="2068"/>
        <v>12600</v>
      </c>
    </row>
    <row r="471" spans="2:50" x14ac:dyDescent="0.2">
      <c r="B471" s="30" t="s">
        <v>85</v>
      </c>
      <c r="H471" s="10"/>
      <c r="I471" s="10"/>
      <c r="J471" s="10"/>
      <c r="K471" s="10"/>
      <c r="L471" s="173">
        <f>+IFERROR(L470/H470-1,"n/a")</f>
        <v>7.1819066887749674</v>
      </c>
      <c r="M471" s="173">
        <f t="shared" ref="M471" si="2071">+IFERROR(M470/I470-1,"n/a")</f>
        <v>2.6134802747164989</v>
      </c>
      <c r="N471" s="173">
        <f t="shared" ref="N471" si="2072">+IFERROR(N470/J470-1,"n/a")</f>
        <v>1.9913422380130381</v>
      </c>
      <c r="O471" s="173">
        <f t="shared" ref="O471" si="2073">+IFERROR(O470/K470-1,"n/a")</f>
        <v>1.1100363893526457</v>
      </c>
      <c r="P471" s="173">
        <f t="shared" ref="P471" si="2074">+IFERROR(P470/L470-1,"n/a")</f>
        <v>1.0901787473924149</v>
      </c>
      <c r="Q471" s="173">
        <f t="shared" ref="Q471" si="2075">+IFERROR(Q470/M470-1,"n/a")</f>
        <v>1.0712190266645716</v>
      </c>
      <c r="R471" s="173">
        <f t="shared" ref="R471" si="2076">+IFERROR(R470/N470-1,"n/a")</f>
        <v>0.59641414888419764</v>
      </c>
      <c r="S471" s="173">
        <f t="shared" ref="S471" si="2077">+IFERROR(S470/O470-1,"n/a")</f>
        <v>0.65171779609603364</v>
      </c>
      <c r="T471" s="173">
        <f t="shared" ref="T471" si="2078">+IFERROR(T470/P470-1,"n/a")</f>
        <v>0.54859808345586369</v>
      </c>
      <c r="U471" s="173">
        <f t="shared" ref="U471" si="2079">+IFERROR(U470/Q470-1,"n/a")</f>
        <v>0.3850893139424596</v>
      </c>
      <c r="V471" s="173">
        <f t="shared" ref="V471" si="2080">+IFERROR(V470/R470-1,"n/a")</f>
        <v>0.29954524493533108</v>
      </c>
      <c r="W471" s="173">
        <f t="shared" ref="W471" si="2081">+IFERROR(W470/S470-1,"n/a")</f>
        <v>-0.16248196396453107</v>
      </c>
      <c r="X471" s="173">
        <f t="shared" ref="X471" si="2082">+IFERROR(X470/T470-1,"n/a")</f>
        <v>0.17139368081008599</v>
      </c>
      <c r="Y471" s="173">
        <f t="shared" ref="Y471" si="2083">+IFERROR(Y470/U470-1,"n/a")</f>
        <v>0.11194266198360547</v>
      </c>
      <c r="Z471" s="173">
        <f t="shared" ref="Z471" si="2084">+IFERROR(Z470/V470-1,"n/a")</f>
        <v>0.1492563835004419</v>
      </c>
      <c r="AA471" s="173">
        <f t="shared" ref="AA471" si="2085">+IFERROR(AA470/W470-1,"n/a")</f>
        <v>0.33974127976961843</v>
      </c>
      <c r="AB471" s="173">
        <f t="shared" ref="AB471" si="2086">+IFERROR(AB470/X470-1,"n/a")</f>
        <v>-3.0343655468757169E-2</v>
      </c>
      <c r="AC471" s="173">
        <f t="shared" ref="AC471" si="2087">+IFERROR(AC470/Y470-1,"n/a")</f>
        <v>7.0898113246278704E-2</v>
      </c>
      <c r="AD471" s="173">
        <f t="shared" ref="AD471" si="2088">+IFERROR(AD470/Z470-1,"n/a")</f>
        <v>4.2338729574935119E-2</v>
      </c>
      <c r="AE471" s="173">
        <f t="shared" ref="AE471:AH471" si="2089">+IFERROR(AE470/AA470-1,"n/a")</f>
        <v>0.35476962925615974</v>
      </c>
      <c r="AF471" s="173">
        <f t="shared" si="2089"/>
        <v>0.14932150265644051</v>
      </c>
      <c r="AG471" s="173">
        <f t="shared" si="2089"/>
        <v>0.15352972297406109</v>
      </c>
      <c r="AH471" s="173">
        <f t="shared" si="2089"/>
        <v>9.9581636743105717E-2</v>
      </c>
      <c r="AI471" s="173">
        <f t="shared" ref="AI471" si="2090">+IFERROR(AI470/AE470-1,"n/a")</f>
        <v>0.18278407094000926</v>
      </c>
      <c r="AJ471" s="173">
        <f t="shared" ref="AJ471" si="2091">+IFERROR(AJ470/AF470-1,"n/a")</f>
        <v>0.31999551201525933</v>
      </c>
      <c r="AK471" s="173">
        <f t="shared" ref="AK471" si="2092">+IFERROR(AK470/AG470-1,"n/a")</f>
        <v>0.32939389608792613</v>
      </c>
      <c r="AL471" s="173">
        <f t="shared" ref="AL471" si="2093">+IFERROR(AL470/AH470-1,"n/a")</f>
        <v>0.31212394322767745</v>
      </c>
      <c r="AM471" s="173">
        <f t="shared" ref="AM471" si="2094">+IFERROR(AM470/AI470-1,"n/a")</f>
        <v>0.14285714285714279</v>
      </c>
      <c r="AP471" s="173">
        <f>+IFERROR(AP470/AO470-1,"n/a")</f>
        <v>3.4551729122249126</v>
      </c>
      <c r="AQ471" s="173">
        <f t="shared" ref="AQ471" si="2095">+IFERROR(AQ470/AP470-1,"n/a")</f>
        <v>6.9485675815975592</v>
      </c>
      <c r="AR471" s="173">
        <f t="shared" ref="AR471" si="2096">+IFERROR(AR470/AQ470-1,"n/a")</f>
        <v>2.0450027194904297</v>
      </c>
      <c r="AS471" s="173">
        <f t="shared" ref="AS471" si="2097">+IFERROR(AS470/AR470-1,"n/a")</f>
        <v>0.80008411556338999</v>
      </c>
      <c r="AT471" s="173">
        <f t="shared" ref="AT471" si="2098">+IFERROR(AT470/AS470-1,"n/a")</f>
        <v>0.23786780920473172</v>
      </c>
      <c r="AU471" s="173">
        <f t="shared" ref="AU471" si="2099">+IFERROR(AU470/AT470-1,"n/a")</f>
        <v>0.18258314929906572</v>
      </c>
      <c r="AV471" s="173">
        <f t="shared" ref="AV471" si="2100">+IFERROR(AV470/AU470-1,"n/a")</f>
        <v>9.9995269066741832E-2</v>
      </c>
      <c r="AW471" s="173">
        <f t="shared" ref="AW471:AX471" si="2101">+IFERROR(AW470/AV470-1,"n/a")</f>
        <v>0.14674072327863863</v>
      </c>
      <c r="AX471" s="173">
        <f t="shared" si="2101"/>
        <v>0.27033532113925696</v>
      </c>
    </row>
    <row r="472" spans="2:50" x14ac:dyDescent="0.2">
      <c r="B472" s="30" t="s">
        <v>94</v>
      </c>
      <c r="H472" s="196">
        <f>+IFERROR(H470/H390,"n/a")</f>
        <v>4.7477112589592405E-2</v>
      </c>
      <c r="I472" s="196">
        <f t="shared" ref="I472:AW472" si="2102">+IFERROR(I470/I390,"n/a")</f>
        <v>6.2400933760445552E-2</v>
      </c>
      <c r="J472" s="196">
        <f t="shared" si="2102"/>
        <v>8.8466198436848581E-2</v>
      </c>
      <c r="K472" s="196">
        <f t="shared" si="2102"/>
        <v>7.9030803750034045E-2</v>
      </c>
      <c r="L472" s="196">
        <f t="shared" si="2102"/>
        <v>0.1183344025922709</v>
      </c>
      <c r="M472" s="196">
        <f t="shared" si="2102"/>
        <v>8.3792500639231118E-2</v>
      </c>
      <c r="N472" s="196">
        <f t="shared" si="2102"/>
        <v>0.11877271442389539</v>
      </c>
      <c r="O472" s="196">
        <f t="shared" si="2102"/>
        <v>8.7358467175021395E-2</v>
      </c>
      <c r="P472" s="196">
        <f t="shared" si="2102"/>
        <v>0.17186987611639032</v>
      </c>
      <c r="Q472" s="196">
        <f t="shared" si="2102"/>
        <v>0.10376177438211019</v>
      </c>
      <c r="R472" s="196">
        <f t="shared" si="2102"/>
        <v>0.10026353676643315</v>
      </c>
      <c r="S472" s="196">
        <f t="shared" si="2102"/>
        <v>5.8660391373131303E-2</v>
      </c>
      <c r="T472" s="196">
        <f t="shared" si="2102"/>
        <v>7.8537611078472638E-2</v>
      </c>
      <c r="U472" s="196">
        <f t="shared" si="2102"/>
        <v>7.6039150888952717E-2</v>
      </c>
      <c r="V472" s="196">
        <f t="shared" si="2102"/>
        <v>8.6092850110189079E-2</v>
      </c>
      <c r="W472" s="196">
        <f t="shared" si="2102"/>
        <v>4.7896610838099769E-2</v>
      </c>
      <c r="X472" s="196">
        <f t="shared" si="2102"/>
        <v>8.5709239958545319E-2</v>
      </c>
      <c r="Y472" s="196">
        <f t="shared" si="2102"/>
        <v>6.1978746018393129E-2</v>
      </c>
      <c r="Z472" s="196">
        <f t="shared" si="2102"/>
        <v>5.9931860655541923E-2</v>
      </c>
      <c r="AA472" s="196">
        <f t="shared" si="2102"/>
        <v>4.3881912890669013E-2</v>
      </c>
      <c r="AB472" s="196">
        <f t="shared" si="2102"/>
        <v>5.2540196428784942E-2</v>
      </c>
      <c r="AC472" s="196">
        <f t="shared" si="2102"/>
        <v>3.9914042545833507E-2</v>
      </c>
      <c r="AD472" s="196">
        <f t="shared" si="2102"/>
        <v>3.2218434732142857E-2</v>
      </c>
      <c r="AE472" s="196">
        <f t="shared" si="2102"/>
        <v>2.6634433018985063E-2</v>
      </c>
      <c r="AF472" s="196">
        <f t="shared" ref="AF472:AG472" si="2103">+IFERROR(AF470/AF390,"n/a")</f>
        <v>2.6179945806837728E-2</v>
      </c>
      <c r="AG472" s="196">
        <f t="shared" si="2103"/>
        <v>2.4800367106657461E-2</v>
      </c>
      <c r="AH472" s="196">
        <f t="shared" ref="AH472" si="2104">+IFERROR(AH470/AH390,"n/a")</f>
        <v>2.4546411386446785E-2</v>
      </c>
      <c r="AI472" s="196">
        <f t="shared" si="2102"/>
        <v>2.5484594032400137E-2</v>
      </c>
      <c r="AJ472" s="196">
        <f t="shared" ref="AJ472:AM472" si="2105">+IFERROR(AJ470/AJ390,"n/a")</f>
        <v>3.1462321187418978E-2</v>
      </c>
      <c r="AK472" s="196">
        <f t="shared" si="2105"/>
        <v>2.8780918075307423E-2</v>
      </c>
      <c r="AL472" s="196">
        <f t="shared" si="2105"/>
        <v>2.6867847299244976E-2</v>
      </c>
      <c r="AM472" s="196">
        <f t="shared" si="2105"/>
        <v>2.4083932890685975E-2</v>
      </c>
      <c r="AO472" s="196">
        <f t="shared" si="2102"/>
        <v>5.4812781263865115E-2</v>
      </c>
      <c r="AP472" s="196">
        <f t="shared" si="2102"/>
        <v>7.0689580041236738E-2</v>
      </c>
      <c r="AQ472" s="196">
        <f t="shared" si="2102"/>
        <v>7.4692358759419791E-2</v>
      </c>
      <c r="AR472" s="196">
        <f t="shared" si="2102"/>
        <v>9.8998118432270632E-2</v>
      </c>
      <c r="AS472" s="196">
        <f t="shared" si="2102"/>
        <v>9.0288529364476983E-2</v>
      </c>
      <c r="AT472" s="196">
        <f t="shared" si="2102"/>
        <v>7.0773052870209935E-2</v>
      </c>
      <c r="AU472" s="196">
        <f t="shared" si="2102"/>
        <v>6.0227383641405952E-2</v>
      </c>
      <c r="AV472" s="196">
        <f t="shared" si="2102"/>
        <v>3.4927502694898409E-2</v>
      </c>
      <c r="AW472" s="196">
        <f t="shared" si="2102"/>
        <v>2.5232089996494192E-2</v>
      </c>
      <c r="AX472" s="196">
        <f t="shared" ref="AX472" si="2106">+IFERROR(AX470/AX390,"n/a")</f>
        <v>2.7480492890050959E-2</v>
      </c>
    </row>
    <row r="473" spans="2:50" x14ac:dyDescent="0.2">
      <c r="B473" s="30"/>
    </row>
    <row r="474" spans="2:50" x14ac:dyDescent="0.2">
      <c r="B474" s="24" t="s">
        <v>90</v>
      </c>
    </row>
    <row r="475" spans="2:50" x14ac:dyDescent="0.2">
      <c r="B475" t="s">
        <v>420</v>
      </c>
      <c r="H475" s="10">
        <f>+IFERROR(H477-H476,"n/a")</f>
        <v>23.733999999999998</v>
      </c>
      <c r="I475" s="10">
        <f t="shared" ref="I475:AE475" si="2107">+IFERROR(I477-I476,"n/a")</f>
        <v>29.966999999999643</v>
      </c>
      <c r="J475" s="10">
        <f t="shared" si="2107"/>
        <v>40.787000000000035</v>
      </c>
      <c r="K475" s="10">
        <f t="shared" si="2107"/>
        <v>65.937999999999477</v>
      </c>
      <c r="L475" s="10">
        <f t="shared" si="2107"/>
        <v>67.072000000000003</v>
      </c>
      <c r="M475" s="10">
        <f t="shared" si="2107"/>
        <v>91.296000000000021</v>
      </c>
      <c r="N475" s="10">
        <f t="shared" si="2107"/>
        <v>230.54400000000001</v>
      </c>
      <c r="O475" s="10">
        <f t="shared" si="2107"/>
        <v>121.15900000000002</v>
      </c>
      <c r="P475" s="10">
        <f t="shared" si="2107"/>
        <v>118.08600000000001</v>
      </c>
      <c r="Q475" s="10">
        <f t="shared" si="2107"/>
        <v>136.52600000000001</v>
      </c>
      <c r="R475" s="10">
        <f t="shared" si="2107"/>
        <v>132.6</v>
      </c>
      <c r="S475" s="10">
        <f t="shared" si="2107"/>
        <v>153.1</v>
      </c>
      <c r="T475" s="10">
        <f t="shared" si="2107"/>
        <v>160.68500000000003</v>
      </c>
      <c r="U475" s="10">
        <f t="shared" si="2107"/>
        <v>213.786</v>
      </c>
      <c r="V475" s="10">
        <f t="shared" si="2107"/>
        <v>178.07499999999999</v>
      </c>
      <c r="W475" s="10">
        <f t="shared" si="2107"/>
        <v>195.80699999999968</v>
      </c>
      <c r="X475" s="10">
        <f t="shared" si="2107"/>
        <v>208.81700000000006</v>
      </c>
      <c r="Y475" s="10">
        <f t="shared" si="2107"/>
        <v>164.70299999999997</v>
      </c>
      <c r="Z475" s="10">
        <f t="shared" si="2107"/>
        <v>226.32100000000003</v>
      </c>
      <c r="AA475" s="10">
        <f t="shared" si="2107"/>
        <v>360.76699999999983</v>
      </c>
      <c r="AB475" s="10">
        <f t="shared" si="2107"/>
        <v>338.34000000000003</v>
      </c>
      <c r="AC475" s="10">
        <f t="shared" si="2107"/>
        <v>370.23400000000004</v>
      </c>
      <c r="AD475" s="10">
        <f t="shared" si="2107"/>
        <v>403.29200000000003</v>
      </c>
      <c r="AE475" s="10">
        <f t="shared" si="2107"/>
        <v>674.48400000000015</v>
      </c>
      <c r="AF475" s="10">
        <f t="shared" ref="AF475:AG475" si="2108">+IFERROR(AF477-AF476,"n/a")</f>
        <v>571.67699999999991</v>
      </c>
      <c r="AG475" s="10">
        <f t="shared" si="2108"/>
        <v>593.58899999999994</v>
      </c>
      <c r="AH475" s="10">
        <f t="shared" ref="AH475" si="2109">+IFERROR(AH477-AH476,"n/a")</f>
        <v>646.96100000000001</v>
      </c>
      <c r="AI475" s="58">
        <v>900</v>
      </c>
      <c r="AJ475" s="58">
        <v>800</v>
      </c>
      <c r="AK475" s="58">
        <v>850</v>
      </c>
      <c r="AL475" s="58">
        <v>900</v>
      </c>
      <c r="AM475" s="58">
        <v>1100</v>
      </c>
      <c r="AO475" s="10">
        <f t="shared" ref="AO475:AP475" si="2110">+IFERROR(AO477-AO476,"n/a")</f>
        <v>13.315999999999999</v>
      </c>
      <c r="AP475" s="10">
        <f t="shared" si="2110"/>
        <v>25.065999999999988</v>
      </c>
      <c r="AQ475" s="14">
        <f>+SUM(H475:K475)</f>
        <v>160.42599999999914</v>
      </c>
      <c r="AR475" s="14">
        <f>+SUM(L475:O475)</f>
        <v>510.07100000000003</v>
      </c>
      <c r="AS475" s="14">
        <f>+SUM(P475:S475)</f>
        <v>540.31200000000001</v>
      </c>
      <c r="AT475" s="14">
        <f>+SUM(T475:W475)</f>
        <v>748.35299999999972</v>
      </c>
      <c r="AU475" s="14">
        <f>+SUM(X475:AA475)</f>
        <v>960.60799999999995</v>
      </c>
      <c r="AV475" s="14">
        <f>+SUM(AB475:AE475)</f>
        <v>1786.3500000000001</v>
      </c>
      <c r="AW475" s="14">
        <f>+SUM(AF475:AI475)</f>
        <v>2712.2269999999999</v>
      </c>
      <c r="AX475" s="10">
        <f t="shared" ref="AX475:AX477" si="2111">+SUM(AJ475:AM475)</f>
        <v>3650</v>
      </c>
    </row>
    <row r="476" spans="2:50" ht="13.5" x14ac:dyDescent="0.35">
      <c r="B476" t="s">
        <v>421</v>
      </c>
      <c r="H476" s="13">
        <v>0</v>
      </c>
      <c r="I476" s="13">
        <v>0</v>
      </c>
      <c r="J476" s="13">
        <v>0</v>
      </c>
      <c r="K476" s="13">
        <v>0</v>
      </c>
      <c r="L476" s="13">
        <v>0</v>
      </c>
      <c r="M476" s="13">
        <v>0</v>
      </c>
      <c r="N476" s="13">
        <v>0</v>
      </c>
      <c r="O476" s="13">
        <v>0</v>
      </c>
      <c r="P476" s="13">
        <v>0</v>
      </c>
      <c r="Q476" s="13">
        <v>0</v>
      </c>
      <c r="R476" s="13">
        <v>0</v>
      </c>
      <c r="S476" s="13">
        <v>0</v>
      </c>
      <c r="T476" s="13">
        <v>0</v>
      </c>
      <c r="U476" s="13">
        <v>0</v>
      </c>
      <c r="V476" s="13">
        <v>0</v>
      </c>
      <c r="W476" s="13">
        <v>0</v>
      </c>
      <c r="X476" s="13">
        <v>0</v>
      </c>
      <c r="Y476" s="13">
        <v>0</v>
      </c>
      <c r="Z476" s="13">
        <v>0</v>
      </c>
      <c r="AA476" s="13">
        <v>0</v>
      </c>
      <c r="AB476" s="13">
        <v>0</v>
      </c>
      <c r="AC476" s="13">
        <v>0</v>
      </c>
      <c r="AD476" s="13">
        <v>0</v>
      </c>
      <c r="AE476" s="13">
        <v>0</v>
      </c>
      <c r="AF476" s="13">
        <v>0</v>
      </c>
      <c r="AG476" s="13">
        <v>0</v>
      </c>
      <c r="AH476" s="13">
        <v>0</v>
      </c>
      <c r="AI476" s="54">
        <v>0</v>
      </c>
      <c r="AJ476" s="54">
        <v>0</v>
      </c>
      <c r="AK476" s="54">
        <v>0</v>
      </c>
      <c r="AL476" s="54">
        <v>0</v>
      </c>
      <c r="AM476" s="54">
        <v>0</v>
      </c>
      <c r="AO476" s="13">
        <v>0</v>
      </c>
      <c r="AP476" s="13">
        <v>0</v>
      </c>
      <c r="AQ476" s="15">
        <f>+SUM(H476:K476)</f>
        <v>0</v>
      </c>
      <c r="AR476" s="15">
        <f>+SUM(L476:O476)</f>
        <v>0</v>
      </c>
      <c r="AS476" s="15">
        <f>+SUM(P476:S476)</f>
        <v>0</v>
      </c>
      <c r="AT476" s="15">
        <f>+SUM(T476:W476)</f>
        <v>0</v>
      </c>
      <c r="AU476" s="15">
        <f>+SUM(X476:AA476)</f>
        <v>0</v>
      </c>
      <c r="AV476" s="15">
        <f>+SUM(AB476:AE476)</f>
        <v>0</v>
      </c>
      <c r="AW476" s="15">
        <f>+SUM(AF476:AI476)</f>
        <v>0</v>
      </c>
      <c r="AX476" s="25">
        <f t="shared" si="2111"/>
        <v>0</v>
      </c>
    </row>
    <row r="477" spans="2:50" x14ac:dyDescent="0.2">
      <c r="B477" s="4" t="s">
        <v>422</v>
      </c>
      <c r="H477" s="10">
        <f t="shared" ref="H477:AH477" si="2112">+H46</f>
        <v>23.733999999999998</v>
      </c>
      <c r="I477" s="10">
        <f t="shared" si="2112"/>
        <v>29.966999999999643</v>
      </c>
      <c r="J477" s="10">
        <f t="shared" si="2112"/>
        <v>40.787000000000035</v>
      </c>
      <c r="K477" s="10">
        <f t="shared" si="2112"/>
        <v>65.937999999999477</v>
      </c>
      <c r="L477" s="10">
        <f t="shared" si="2112"/>
        <v>67.072000000000003</v>
      </c>
      <c r="M477" s="10">
        <f t="shared" si="2112"/>
        <v>91.296000000000021</v>
      </c>
      <c r="N477" s="10">
        <f t="shared" si="2112"/>
        <v>230.54400000000001</v>
      </c>
      <c r="O477" s="10">
        <f t="shared" si="2112"/>
        <v>121.15900000000002</v>
      </c>
      <c r="P477" s="10">
        <f t="shared" si="2112"/>
        <v>118.08600000000001</v>
      </c>
      <c r="Q477" s="10">
        <f t="shared" si="2112"/>
        <v>136.52600000000001</v>
      </c>
      <c r="R477" s="10">
        <f t="shared" si="2112"/>
        <v>132.6</v>
      </c>
      <c r="S477" s="10">
        <f t="shared" si="2112"/>
        <v>153.1</v>
      </c>
      <c r="T477" s="10">
        <f t="shared" si="2112"/>
        <v>160.68500000000003</v>
      </c>
      <c r="U477" s="10">
        <f t="shared" si="2112"/>
        <v>213.786</v>
      </c>
      <c r="V477" s="10">
        <f t="shared" si="2112"/>
        <v>178.07499999999999</v>
      </c>
      <c r="W477" s="10">
        <f t="shared" si="2112"/>
        <v>195.80699999999968</v>
      </c>
      <c r="X477" s="10">
        <f t="shared" si="2112"/>
        <v>208.81700000000006</v>
      </c>
      <c r="Y477" s="10">
        <f t="shared" si="2112"/>
        <v>164.70299999999997</v>
      </c>
      <c r="Z477" s="10">
        <f t="shared" si="2112"/>
        <v>226.32100000000003</v>
      </c>
      <c r="AA477" s="10">
        <f t="shared" si="2112"/>
        <v>360.76699999999983</v>
      </c>
      <c r="AB477" s="10">
        <f t="shared" si="2112"/>
        <v>338.34000000000003</v>
      </c>
      <c r="AC477" s="10">
        <f t="shared" si="2112"/>
        <v>370.23400000000004</v>
      </c>
      <c r="AD477" s="10">
        <f t="shared" si="2112"/>
        <v>403.29200000000003</v>
      </c>
      <c r="AE477" s="10">
        <f t="shared" si="2112"/>
        <v>674.48400000000015</v>
      </c>
      <c r="AF477" s="10">
        <f t="shared" si="2112"/>
        <v>571.67699999999991</v>
      </c>
      <c r="AG477" s="10">
        <f t="shared" si="2112"/>
        <v>593.58899999999994</v>
      </c>
      <c r="AH477" s="10">
        <f t="shared" si="2112"/>
        <v>646.96100000000001</v>
      </c>
      <c r="AI477" s="10">
        <f t="shared" ref="AI477:AM477" si="2113">IFERROR(AI475+AI476,"n/a")</f>
        <v>900</v>
      </c>
      <c r="AJ477" s="10">
        <f t="shared" si="2113"/>
        <v>800</v>
      </c>
      <c r="AK477" s="10">
        <f t="shared" si="2113"/>
        <v>850</v>
      </c>
      <c r="AL477" s="10">
        <f t="shared" si="2113"/>
        <v>900</v>
      </c>
      <c r="AM477" s="10">
        <f t="shared" si="2113"/>
        <v>1100</v>
      </c>
      <c r="AO477" s="10">
        <f>+AO46</f>
        <v>13.315999999999999</v>
      </c>
      <c r="AP477" s="10">
        <f>+AP46</f>
        <v>25.065999999999988</v>
      </c>
      <c r="AQ477" s="14">
        <f>+SUM(H477:K477)</f>
        <v>160.42599999999914</v>
      </c>
      <c r="AR477" s="14">
        <f>+SUM(L477:O477)</f>
        <v>510.07100000000003</v>
      </c>
      <c r="AS477" s="14">
        <f>+SUM(P477:S477)</f>
        <v>540.31200000000001</v>
      </c>
      <c r="AT477" s="14">
        <f>+SUM(T477:W477)</f>
        <v>748.35299999999972</v>
      </c>
      <c r="AU477" s="14">
        <f>+SUM(X477:AA477)</f>
        <v>960.60799999999995</v>
      </c>
      <c r="AV477" s="14">
        <f>+SUM(AB477:AE477)</f>
        <v>1786.3500000000001</v>
      </c>
      <c r="AW477" s="14">
        <f>+SUM(AF477:AI477)</f>
        <v>2712.2269999999999</v>
      </c>
      <c r="AX477" s="10">
        <f t="shared" si="2111"/>
        <v>3650</v>
      </c>
    </row>
    <row r="478" spans="2:50" x14ac:dyDescent="0.2">
      <c r="B478" s="30" t="s">
        <v>85</v>
      </c>
      <c r="L478" s="173">
        <f>+IFERROR(L477/H477-1,"n/a")</f>
        <v>1.8259880340439878</v>
      </c>
      <c r="M478" s="173">
        <f t="shared" ref="M478" si="2114">+IFERROR(M477/I477-1,"n/a")</f>
        <v>2.0465512063269964</v>
      </c>
      <c r="N478" s="173">
        <f t="shared" ref="N478" si="2115">+IFERROR(N477/J477-1,"n/a")</f>
        <v>4.6523892416701358</v>
      </c>
      <c r="O478" s="173">
        <f t="shared" ref="O478" si="2116">+IFERROR(O477/K477-1,"n/a")</f>
        <v>0.83746853104432928</v>
      </c>
      <c r="P478" s="173">
        <f t="shared" ref="P478" si="2117">+IFERROR(P477/L477-1,"n/a")</f>
        <v>0.76058563931297729</v>
      </c>
      <c r="Q478" s="173">
        <f t="shared" ref="Q478" si="2118">+IFERROR(Q477/M477-1,"n/a")</f>
        <v>0.49542148615492443</v>
      </c>
      <c r="R478" s="173">
        <f t="shared" ref="R478" si="2119">+IFERROR(R477/N477-1,"n/a")</f>
        <v>-0.42483864251509473</v>
      </c>
      <c r="S478" s="173">
        <f t="shared" ref="S478" si="2120">+IFERROR(S477/O477-1,"n/a")</f>
        <v>0.2636287853151642</v>
      </c>
      <c r="T478" s="173">
        <f t="shared" ref="T478" si="2121">+IFERROR(T477/P477-1,"n/a")</f>
        <v>0.36074555832190103</v>
      </c>
      <c r="U478" s="173">
        <f t="shared" ref="U478" si="2122">+IFERROR(U477/Q477-1,"n/a")</f>
        <v>0.56589953561958883</v>
      </c>
      <c r="V478" s="173">
        <f t="shared" ref="V478" si="2123">+IFERROR(V477/R477-1,"n/a")</f>
        <v>0.34294871794871784</v>
      </c>
      <c r="W478" s="173">
        <f t="shared" ref="W478" si="2124">+IFERROR(W477/S477-1,"n/a")</f>
        <v>0.27894839973873076</v>
      </c>
      <c r="X478" s="173">
        <f t="shared" ref="X478" si="2125">+IFERROR(X477/T477-1,"n/a")</f>
        <v>0.29954258331518213</v>
      </c>
      <c r="Y478" s="173">
        <f t="shared" ref="Y478" si="2126">+IFERROR(Y477/U477-1,"n/a")</f>
        <v>-0.22958940248659887</v>
      </c>
      <c r="Z478" s="173">
        <f t="shared" ref="Z478" si="2127">+IFERROR(Z477/V477-1,"n/a")</f>
        <v>0.27093078758949907</v>
      </c>
      <c r="AA478" s="173">
        <f t="shared" ref="AA478" si="2128">+IFERROR(AA477/W477-1,"n/a")</f>
        <v>0.84246222045177355</v>
      </c>
      <c r="AB478" s="173">
        <f t="shared" ref="AB478" si="2129">+IFERROR(AB477/X477-1,"n/a")</f>
        <v>0.62027038028512971</v>
      </c>
      <c r="AC478" s="173">
        <f t="shared" ref="AC478" si="2130">+IFERROR(AC477/Y477-1,"n/a")</f>
        <v>1.2478886237652023</v>
      </c>
      <c r="AD478" s="173">
        <f t="shared" ref="AD478" si="2131">+IFERROR(AD477/Z477-1,"n/a")</f>
        <v>0.78194688075786156</v>
      </c>
      <c r="AE478" s="173">
        <f t="shared" ref="AE478:AH478" si="2132">+IFERROR(AE477/AA477-1,"n/a")</f>
        <v>0.86958341533455252</v>
      </c>
      <c r="AF478" s="173">
        <f t="shared" si="2132"/>
        <v>0.68965242064195742</v>
      </c>
      <c r="AG478" s="173">
        <f t="shared" si="2132"/>
        <v>0.6032806279272025</v>
      </c>
      <c r="AH478" s="173">
        <f t="shared" si="2132"/>
        <v>0.6041999345387461</v>
      </c>
      <c r="AI478" s="173">
        <f t="shared" ref="AI478" si="2133">+IFERROR(AI477/AE477-1,"n/a")</f>
        <v>0.33435337235575613</v>
      </c>
      <c r="AJ478" s="173">
        <f t="shared" ref="AJ478" si="2134">+IFERROR(AJ477/AF477-1,"n/a")</f>
        <v>0.39939161449559824</v>
      </c>
      <c r="AK478" s="173">
        <f t="shared" ref="AK478" si="2135">+IFERROR(AK477/AG477-1,"n/a")</f>
        <v>0.43196723658962699</v>
      </c>
      <c r="AL478" s="173">
        <f t="shared" ref="AL478" si="2136">+IFERROR(AL477/AH477-1,"n/a")</f>
        <v>0.39111940286972469</v>
      </c>
      <c r="AM478" s="173">
        <f t="shared" ref="AM478" si="2137">+IFERROR(AM477/AI477-1,"n/a")</f>
        <v>0.22222222222222232</v>
      </c>
      <c r="AP478" s="173">
        <f>+IFERROR(AP477/AO477-1,"n/a")</f>
        <v>0.88239711625112571</v>
      </c>
      <c r="AQ478" s="173">
        <f t="shared" ref="AQ478" si="2138">+IFERROR(AQ477/AP477-1,"n/a")</f>
        <v>5.4001436208409483</v>
      </c>
      <c r="AR478" s="173">
        <f t="shared" ref="AR478" si="2139">+IFERROR(AR477/AQ477-1,"n/a")</f>
        <v>2.1794783887898643</v>
      </c>
      <c r="AS478" s="173">
        <f t="shared" ref="AS478" si="2140">+IFERROR(AS477/AR477-1,"n/a")</f>
        <v>5.9287824636178099E-2</v>
      </c>
      <c r="AT478" s="173">
        <f t="shared" ref="AT478" si="2141">+IFERROR(AT477/AS477-1,"n/a")</f>
        <v>0.38503864433882584</v>
      </c>
      <c r="AU478" s="173">
        <f t="shared" ref="AU478" si="2142">+IFERROR(AU477/AT477-1,"n/a")</f>
        <v>0.28362951708618844</v>
      </c>
      <c r="AV478" s="173">
        <f t="shared" ref="AV478" si="2143">+IFERROR(AV477/AU477-1,"n/a")</f>
        <v>0.85960350111596018</v>
      </c>
      <c r="AW478" s="173">
        <f t="shared" ref="AW478:AX478" si="2144">+IFERROR(AW477/AV477-1,"n/a")</f>
        <v>0.51830660284938546</v>
      </c>
      <c r="AX478" s="173">
        <f t="shared" si="2144"/>
        <v>0.34575756380273481</v>
      </c>
    </row>
    <row r="479" spans="2:50" x14ac:dyDescent="0.2">
      <c r="B479" s="30" t="s">
        <v>94</v>
      </c>
      <c r="H479" s="196">
        <f>+IFERROR(H477/H390,"n/a")</f>
        <v>1.7141363162319335E-2</v>
      </c>
      <c r="I479" s="196">
        <f t="shared" ref="I479:AW479" si="2145">+IFERROR(I477/I390,"n/a")</f>
        <v>1.1061827669223645E-2</v>
      </c>
      <c r="J479" s="196">
        <f t="shared" si="2145"/>
        <v>1.2094289616530345E-2</v>
      </c>
      <c r="K479" s="196">
        <f t="shared" si="2145"/>
        <v>1.1662346951372778E-2</v>
      </c>
      <c r="L479" s="196">
        <f t="shared" si="2145"/>
        <v>1.4756653386734679E-2</v>
      </c>
      <c r="M479" s="196">
        <f t="shared" si="2145"/>
        <v>1.2523443046976083E-2</v>
      </c>
      <c r="N479" s="196">
        <f t="shared" si="2145"/>
        <v>3.0682139402614977E-2</v>
      </c>
      <c r="O479" s="196">
        <f t="shared" si="2145"/>
        <v>1.1225986835948583E-2</v>
      </c>
      <c r="P479" s="196">
        <f t="shared" si="2145"/>
        <v>1.8053040035260346E-2</v>
      </c>
      <c r="Q479" s="196">
        <f t="shared" si="2145"/>
        <v>1.1196791028526698E-2</v>
      </c>
      <c r="R479" s="196">
        <f t="shared" si="2145"/>
        <v>9.331599879575915E-3</v>
      </c>
      <c r="S479" s="196">
        <f t="shared" si="2145"/>
        <v>5.7669759752150369E-3</v>
      </c>
      <c r="T479" s="196">
        <f t="shared" si="2145"/>
        <v>7.2488059894531085E-3</v>
      </c>
      <c r="U479" s="196">
        <f t="shared" si="2145"/>
        <v>9.276401943572524E-3</v>
      </c>
      <c r="V479" s="196">
        <f t="shared" si="2145"/>
        <v>8.2803405487962799E-3</v>
      </c>
      <c r="W479" s="196">
        <f t="shared" si="2145"/>
        <v>7.1906280454874924E-3</v>
      </c>
      <c r="X479" s="196">
        <f t="shared" si="2145"/>
        <v>8.7761506843264236E-3</v>
      </c>
      <c r="Y479" s="196">
        <f t="shared" si="2145"/>
        <v>5.2387170205392131E-3</v>
      </c>
      <c r="Z479" s="196">
        <f t="shared" si="2145"/>
        <v>6.3744665998803976E-3</v>
      </c>
      <c r="AA479" s="196">
        <f t="shared" si="2145"/>
        <v>9.0599383807565357E-3</v>
      </c>
      <c r="AB479" s="196">
        <f t="shared" si="2145"/>
        <v>8.9895462051356335E-3</v>
      </c>
      <c r="AC479" s="196">
        <f t="shared" si="2145"/>
        <v>7.0816507828082341E-3</v>
      </c>
      <c r="AD479" s="196">
        <f t="shared" si="2145"/>
        <v>5.8583647086968785E-3</v>
      </c>
      <c r="AE479" s="196">
        <f t="shared" si="2145"/>
        <v>7.5886154162289488E-3</v>
      </c>
      <c r="AF479" s="196">
        <f t="shared" ref="AF479:AG479" si="2146">+IFERROR(AF477/AF390,"n/a")</f>
        <v>6.5852256769995494E-3</v>
      </c>
      <c r="AG479" s="196">
        <f t="shared" si="2146"/>
        <v>6.1157208765000104E-3</v>
      </c>
      <c r="AH479" s="196">
        <f t="shared" ref="AH479" si="2147">+IFERROR(AH477/AH390,"n/a")</f>
        <v>6.511649141742599E-3</v>
      </c>
      <c r="AI479" s="196">
        <f t="shared" si="2145"/>
        <v>8.191476653271473E-3</v>
      </c>
      <c r="AJ479" s="196">
        <f t="shared" ref="AJ479:AM479" si="2148">+IFERROR(AJ477/AJ390,"n/a")</f>
        <v>8.38995231664506E-3</v>
      </c>
      <c r="AK479" s="196">
        <f t="shared" si="2148"/>
        <v>7.644931363753534E-3</v>
      </c>
      <c r="AL479" s="196">
        <f t="shared" si="2148"/>
        <v>7.55658205291265E-3</v>
      </c>
      <c r="AM479" s="196">
        <f t="shared" si="2148"/>
        <v>8.2788519311733037E-3</v>
      </c>
      <c r="AO479" s="196">
        <f t="shared" si="2145"/>
        <v>2.6375419915066232E-2</v>
      </c>
      <c r="AP479" s="196">
        <f t="shared" si="2145"/>
        <v>1.4372080115774762E-2</v>
      </c>
      <c r="AQ479" s="196">
        <f t="shared" si="2145"/>
        <v>1.2227600783232239E-2</v>
      </c>
      <c r="AR479" s="196">
        <f t="shared" si="2145"/>
        <v>1.6922331933708464E-2</v>
      </c>
      <c r="AS479" s="196">
        <f t="shared" si="2145"/>
        <v>9.0821156808582153E-3</v>
      </c>
      <c r="AT479" s="196">
        <f t="shared" si="2145"/>
        <v>7.9654442351473967E-3</v>
      </c>
      <c r="AU479" s="196">
        <f t="shared" si="2145"/>
        <v>7.3577339115844121E-3</v>
      </c>
      <c r="AV479" s="196">
        <f t="shared" si="2145"/>
        <v>7.2135185541400857E-3</v>
      </c>
      <c r="AW479" s="196">
        <f t="shared" si="2145"/>
        <v>6.8996504415193022E-3</v>
      </c>
      <c r="AX479" s="196">
        <f t="shared" ref="AX479" si="2149">+IFERROR(AX477/AX390,"n/a")</f>
        <v>7.9606189721179357E-3</v>
      </c>
    </row>
    <row r="480" spans="2:50" x14ac:dyDescent="0.2">
      <c r="B480" s="38"/>
      <c r="AE480" s="33"/>
      <c r="AF480" s="10"/>
    </row>
    <row r="481" spans="2:52" x14ac:dyDescent="0.2">
      <c r="B481" s="24" t="s">
        <v>93</v>
      </c>
      <c r="AF481" s="206"/>
    </row>
    <row r="482" spans="2:52" x14ac:dyDescent="0.2">
      <c r="B482" t="s">
        <v>401</v>
      </c>
      <c r="H482" s="10">
        <f>+IFERROR(H484-H483,"n/a")</f>
        <v>-239.52300000000037</v>
      </c>
      <c r="I482" s="10">
        <f t="shared" ref="I482:AE482" si="2150">+IFERROR(I484-I483,"n/a")</f>
        <v>-815.72999999999911</v>
      </c>
      <c r="J482" s="10">
        <f t="shared" si="2150"/>
        <v>-790.01800000000003</v>
      </c>
      <c r="K482" s="10">
        <f t="shared" si="2150"/>
        <v>-2112.896999999999</v>
      </c>
      <c r="L482" s="10">
        <f t="shared" si="2150"/>
        <v>-1621.8890000000006</v>
      </c>
      <c r="M482" s="10">
        <f t="shared" si="2150"/>
        <v>-898.43800000000101</v>
      </c>
      <c r="N482" s="10">
        <f t="shared" si="2150"/>
        <v>-2123.5460000000003</v>
      </c>
      <c r="O482" s="10">
        <f t="shared" si="2150"/>
        <v>-1336.6319999999996</v>
      </c>
      <c r="P482" s="10">
        <f t="shared" si="2150"/>
        <v>-3587.8600000000006</v>
      </c>
      <c r="Q482" s="10">
        <f t="shared" si="2150"/>
        <v>-725.07100000000173</v>
      </c>
      <c r="R482" s="10">
        <f t="shared" si="2150"/>
        <v>-339.80900000000111</v>
      </c>
      <c r="S482" s="10">
        <f t="shared" si="2150"/>
        <v>-1114.5419999999976</v>
      </c>
      <c r="T482" s="10">
        <f t="shared" si="2150"/>
        <v>-3174.1470000000008</v>
      </c>
      <c r="U482" s="10">
        <f t="shared" si="2150"/>
        <v>3185.2420000000002</v>
      </c>
      <c r="V482" s="10">
        <f t="shared" si="2150"/>
        <v>3260.7249999999985</v>
      </c>
      <c r="W482" s="10">
        <f t="shared" si="2150"/>
        <v>8399.6720000000132</v>
      </c>
      <c r="X482" s="10">
        <f t="shared" si="2150"/>
        <v>3677.1559999999972</v>
      </c>
      <c r="Y482" s="10">
        <f t="shared" si="2150"/>
        <v>10541.514999999998</v>
      </c>
      <c r="Z482" s="10">
        <f t="shared" si="2150"/>
        <v>13456.422766576517</v>
      </c>
      <c r="AA482" s="10">
        <f t="shared" si="2150"/>
        <v>14224.910392048654</v>
      </c>
      <c r="AB482" s="10">
        <f t="shared" si="2150"/>
        <v>12967.777262421114</v>
      </c>
      <c r="AC482" s="10">
        <f t="shared" si="2150"/>
        <v>22445.479656091324</v>
      </c>
      <c r="AD482" s="10">
        <f t="shared" si="2150"/>
        <v>22541.179448229224</v>
      </c>
      <c r="AE482" s="10">
        <f t="shared" si="2150"/>
        <v>29909.826200163232</v>
      </c>
      <c r="AF482" s="10">
        <f t="shared" ref="AF482:AG482" si="2151">+IFERROR(AF484-AF483,"n/a")</f>
        <v>25467.230418465337</v>
      </c>
      <c r="AG482" s="10">
        <f t="shared" si="2151"/>
        <v>29796.020554911694</v>
      </c>
      <c r="AH482" s="10">
        <f t="shared" ref="AH482" si="2152">+IFERROR(AH484-AH483,"n/a")</f>
        <v>27838.729735918037</v>
      </c>
      <c r="AI482" s="10">
        <f t="shared" ref="AI482" si="2153">+IFERROR(AI410-AI448-AI468-AI475,"n/a")</f>
        <v>28103.919518738552</v>
      </c>
      <c r="AJ482" s="10">
        <f t="shared" ref="AJ482:AM482" si="2154">+IFERROR(AJ410-AJ448-AJ468-AJ475,"n/a")</f>
        <v>22316.50867608509</v>
      </c>
      <c r="AK482" s="10">
        <f t="shared" si="2154"/>
        <v>26973.776000909944</v>
      </c>
      <c r="AL482" s="10">
        <f t="shared" si="2154"/>
        <v>28772.444335581255</v>
      </c>
      <c r="AM482" s="10">
        <f t="shared" si="2154"/>
        <v>31938.788990570567</v>
      </c>
      <c r="AO482" s="10">
        <f t="shared" ref="AO482:AP482" si="2155">+IFERROR(AO484-AO483,"n/a")</f>
        <v>-282.14500000000004</v>
      </c>
      <c r="AP482" s="10">
        <f t="shared" si="2155"/>
        <v>-469.21899999999994</v>
      </c>
      <c r="AQ482" s="14">
        <f>+SUM(H482:K482)</f>
        <v>-3958.1679999999988</v>
      </c>
      <c r="AR482" s="14">
        <f>+SUM(L482:O482)</f>
        <v>-5980.505000000001</v>
      </c>
      <c r="AS482" s="14">
        <f>+SUM(P482:S482)</f>
        <v>-5767.2820000000011</v>
      </c>
      <c r="AT482" s="14">
        <f>+SUM(T482:W482)</f>
        <v>11671.492000000011</v>
      </c>
      <c r="AU482" s="14">
        <f>+SUM(X482:AA482)</f>
        <v>41900.004158625168</v>
      </c>
      <c r="AV482" s="14">
        <f>+SUM(AB482:AE482)</f>
        <v>87864.262566904887</v>
      </c>
      <c r="AW482" s="14">
        <f>+SUM(AF482:AI482)</f>
        <v>111205.90022803361</v>
      </c>
      <c r="AX482" s="10">
        <f t="shared" ref="AX482:AX484" si="2156">+SUM(AJ482:AM482)</f>
        <v>110001.51800314685</v>
      </c>
      <c r="AZ482" s="33"/>
    </row>
    <row r="483" spans="2:52" ht="13.5" x14ac:dyDescent="0.35">
      <c r="B483" t="s">
        <v>400</v>
      </c>
      <c r="H483" s="25">
        <f>+IFERROR(H411-H449-H469-H476,"n/a")</f>
        <v>0</v>
      </c>
      <c r="I483" s="25">
        <f t="shared" ref="I483:AE483" si="2157">+IFERROR(I411-I449-I469-I476,"n/a")</f>
        <v>0</v>
      </c>
      <c r="J483" s="25">
        <f t="shared" si="2157"/>
        <v>0</v>
      </c>
      <c r="K483" s="25">
        <f t="shared" si="2157"/>
        <v>0</v>
      </c>
      <c r="L483" s="25">
        <f t="shared" si="2157"/>
        <v>0</v>
      </c>
      <c r="M483" s="25">
        <f t="shared" si="2157"/>
        <v>0</v>
      </c>
      <c r="N483" s="25">
        <f t="shared" si="2157"/>
        <v>0</v>
      </c>
      <c r="O483" s="25">
        <f t="shared" si="2157"/>
        <v>0</v>
      </c>
      <c r="P483" s="25">
        <f t="shared" si="2157"/>
        <v>0</v>
      </c>
      <c r="Q483" s="25">
        <f t="shared" si="2157"/>
        <v>0</v>
      </c>
      <c r="R483" s="25">
        <f t="shared" si="2157"/>
        <v>0</v>
      </c>
      <c r="S483" s="25">
        <f t="shared" si="2157"/>
        <v>0</v>
      </c>
      <c r="T483" s="25">
        <f t="shared" si="2157"/>
        <v>0</v>
      </c>
      <c r="U483" s="25">
        <f t="shared" si="2157"/>
        <v>0</v>
      </c>
      <c r="V483" s="25">
        <f t="shared" si="2157"/>
        <v>0</v>
      </c>
      <c r="W483" s="25">
        <f t="shared" si="2157"/>
        <v>0</v>
      </c>
      <c r="X483" s="25">
        <f t="shared" si="2157"/>
        <v>0</v>
      </c>
      <c r="Y483" s="25">
        <f t="shared" si="2157"/>
        <v>0</v>
      </c>
      <c r="Z483" s="25">
        <f t="shared" si="2157"/>
        <v>-1154.9277665765185</v>
      </c>
      <c r="AA483" s="25">
        <f t="shared" si="2157"/>
        <v>-2624.7903920486624</v>
      </c>
      <c r="AB483" s="25">
        <f t="shared" si="2157"/>
        <v>-4505.357262421112</v>
      </c>
      <c r="AC483" s="25">
        <f t="shared" si="2157"/>
        <v>-7836.0956560913291</v>
      </c>
      <c r="AD483" s="25">
        <f t="shared" si="2157"/>
        <v>-4415.339448229226</v>
      </c>
      <c r="AE483" s="25">
        <f t="shared" si="2157"/>
        <v>-5329.9142001632354</v>
      </c>
      <c r="AF483" s="25">
        <f t="shared" ref="AF483:AG483" si="2158">+IFERROR(AF411-AF449-AF469-AF476,"n/a")</f>
        <v>3084.9645815346739</v>
      </c>
      <c r="AG483" s="25">
        <f t="shared" si="2158"/>
        <v>5191.277445088308</v>
      </c>
      <c r="AH483" s="25">
        <f t="shared" ref="AH483:AI483" si="2159">+IFERROR(AH411-AH449-AH469-AH476,"n/a")</f>
        <v>-1068.2667359180414</v>
      </c>
      <c r="AI483" s="25">
        <f t="shared" si="2159"/>
        <v>-3381.9957709353203</v>
      </c>
      <c r="AJ483" s="54">
        <v>-1500</v>
      </c>
      <c r="AK483" s="54">
        <v>-1500</v>
      </c>
      <c r="AL483" s="54">
        <v>-1500</v>
      </c>
      <c r="AM483" s="54">
        <v>-1500</v>
      </c>
      <c r="AO483" s="25">
        <f t="shared" ref="AO483:AP483" si="2160">+IFERROR(AO411-AO449-AO469-AO476,"n/a")</f>
        <v>0</v>
      </c>
      <c r="AP483" s="25">
        <f t="shared" si="2160"/>
        <v>0</v>
      </c>
      <c r="AQ483" s="15">
        <f>+SUM(H483:K483)</f>
        <v>0</v>
      </c>
      <c r="AR483" s="15">
        <f>+SUM(L483:O483)</f>
        <v>0</v>
      </c>
      <c r="AS483" s="15">
        <f>+SUM(P483:S483)</f>
        <v>0</v>
      </c>
      <c r="AT483" s="15">
        <f>+SUM(T483:W483)</f>
        <v>0</v>
      </c>
      <c r="AU483" s="15">
        <f>+SUM(X483:AA483)</f>
        <v>-3779.7181586251809</v>
      </c>
      <c r="AV483" s="15">
        <f>+SUM(AB483:AE483)</f>
        <v>-22086.706566904904</v>
      </c>
      <c r="AW483" s="15">
        <f>+SUM(AF483:AI483)</f>
        <v>3825.9795197696203</v>
      </c>
      <c r="AX483" s="25">
        <f t="shared" si="2156"/>
        <v>-6000</v>
      </c>
    </row>
    <row r="484" spans="2:52" s="1" customFormat="1" x14ac:dyDescent="0.2">
      <c r="B484" s="38" t="s">
        <v>410</v>
      </c>
      <c r="H484" s="42">
        <f t="shared" ref="H484:AH484" si="2161">+H61</f>
        <v>-239.52300000000037</v>
      </c>
      <c r="I484" s="42">
        <f t="shared" si="2161"/>
        <v>-815.72999999999911</v>
      </c>
      <c r="J484" s="42">
        <f t="shared" si="2161"/>
        <v>-790.01800000000003</v>
      </c>
      <c r="K484" s="42">
        <f t="shared" si="2161"/>
        <v>-2112.896999999999</v>
      </c>
      <c r="L484" s="42">
        <f t="shared" si="2161"/>
        <v>-1621.8890000000006</v>
      </c>
      <c r="M484" s="42">
        <f t="shared" si="2161"/>
        <v>-898.43800000000101</v>
      </c>
      <c r="N484" s="42">
        <f t="shared" si="2161"/>
        <v>-2123.5460000000003</v>
      </c>
      <c r="O484" s="42">
        <f t="shared" si="2161"/>
        <v>-1336.6319999999996</v>
      </c>
      <c r="P484" s="42">
        <f t="shared" si="2161"/>
        <v>-3587.8600000000006</v>
      </c>
      <c r="Q484" s="42">
        <f t="shared" si="2161"/>
        <v>-725.07100000000173</v>
      </c>
      <c r="R484" s="42">
        <f t="shared" si="2161"/>
        <v>-339.80900000000111</v>
      </c>
      <c r="S484" s="42">
        <f t="shared" si="2161"/>
        <v>-1114.5419999999976</v>
      </c>
      <c r="T484" s="42">
        <f t="shared" si="2161"/>
        <v>-3174.1470000000008</v>
      </c>
      <c r="U484" s="42">
        <f t="shared" si="2161"/>
        <v>3185.2420000000002</v>
      </c>
      <c r="V484" s="42">
        <f t="shared" si="2161"/>
        <v>3260.7249999999985</v>
      </c>
      <c r="W484" s="42">
        <f t="shared" si="2161"/>
        <v>8399.6720000000132</v>
      </c>
      <c r="X484" s="42">
        <f t="shared" si="2161"/>
        <v>3677.1559999999972</v>
      </c>
      <c r="Y484" s="42">
        <f t="shared" si="2161"/>
        <v>10541.514999999998</v>
      </c>
      <c r="Z484" s="42">
        <f t="shared" si="2161"/>
        <v>12301.494999999999</v>
      </c>
      <c r="AA484" s="42">
        <f t="shared" si="2161"/>
        <v>11600.119999999992</v>
      </c>
      <c r="AB484" s="42">
        <f t="shared" si="2161"/>
        <v>8462.4200000000019</v>
      </c>
      <c r="AC484" s="42">
        <f t="shared" si="2161"/>
        <v>14609.383999999995</v>
      </c>
      <c r="AD484" s="42">
        <f t="shared" si="2161"/>
        <v>18125.839999999997</v>
      </c>
      <c r="AE484" s="42">
        <f t="shared" si="2161"/>
        <v>24579.911999999997</v>
      </c>
      <c r="AF484" s="42">
        <f t="shared" si="2161"/>
        <v>28552.195000000011</v>
      </c>
      <c r="AG484" s="42">
        <f t="shared" si="2161"/>
        <v>34987.298000000003</v>
      </c>
      <c r="AH484" s="42">
        <f t="shared" si="2161"/>
        <v>26770.462999999996</v>
      </c>
      <c r="AI484" s="42">
        <f t="shared" ref="AI484" si="2162">IFERROR(AI482+AI483,"n/a")</f>
        <v>24721.92374780323</v>
      </c>
      <c r="AJ484" s="42">
        <f t="shared" ref="AJ484:AM484" si="2163">IFERROR(AJ482+AJ483,"n/a")</f>
        <v>20816.50867608509</v>
      </c>
      <c r="AK484" s="42">
        <f t="shared" si="2163"/>
        <v>25473.776000909944</v>
      </c>
      <c r="AL484" s="42">
        <f t="shared" si="2163"/>
        <v>27272.444335581255</v>
      </c>
      <c r="AM484" s="42">
        <f t="shared" si="2163"/>
        <v>30438.788990570567</v>
      </c>
      <c r="AO484" s="42">
        <f>+AO61</f>
        <v>-282.14500000000004</v>
      </c>
      <c r="AP484" s="42">
        <f>+AP61</f>
        <v>-469.21899999999994</v>
      </c>
      <c r="AQ484" s="48">
        <f>+SUM(H484:K484)</f>
        <v>-3958.1679999999988</v>
      </c>
      <c r="AR484" s="48">
        <f>+SUM(L484:O484)</f>
        <v>-5980.505000000001</v>
      </c>
      <c r="AS484" s="48">
        <f>+SUM(P484:S484)</f>
        <v>-5767.2820000000011</v>
      </c>
      <c r="AT484" s="48">
        <f>+SUM(T484:W484)</f>
        <v>11671.492000000011</v>
      </c>
      <c r="AU484" s="48">
        <f>+SUM(X484:AA484)</f>
        <v>38120.285999999986</v>
      </c>
      <c r="AV484" s="48">
        <f>+SUM(AB484:AE484)</f>
        <v>65777.555999999982</v>
      </c>
      <c r="AW484" s="48">
        <f>+SUM(AF484:AI484)</f>
        <v>115031.87974780324</v>
      </c>
      <c r="AX484" s="42">
        <f t="shared" si="2156"/>
        <v>104001.51800314685</v>
      </c>
    </row>
    <row r="485" spans="2:52" x14ac:dyDescent="0.2">
      <c r="B485" s="38"/>
      <c r="AB485" s="10"/>
      <c r="AI485" s="10"/>
    </row>
    <row r="486" spans="2:52" x14ac:dyDescent="0.2">
      <c r="B486" s="19" t="s">
        <v>85</v>
      </c>
      <c r="AI486" s="33"/>
    </row>
    <row r="487" spans="2:52" x14ac:dyDescent="0.2">
      <c r="B487" s="20" t="s">
        <v>401</v>
      </c>
      <c r="L487" s="173">
        <f>+IFERROR(L482/H482-1,"n/a")</f>
        <v>5.7713288494215504</v>
      </c>
      <c r="M487" s="173">
        <f t="shared" ref="M487:AI489" si="2164">+IFERROR(M482/I482-1,"n/a")</f>
        <v>0.10139139175953082</v>
      </c>
      <c r="N487" s="173">
        <f t="shared" si="2164"/>
        <v>1.6879716664683593</v>
      </c>
      <c r="O487" s="173">
        <f t="shared" si="2164"/>
        <v>-0.36739367796915789</v>
      </c>
      <c r="P487" s="173">
        <f t="shared" si="2164"/>
        <v>1.2121489201788775</v>
      </c>
      <c r="Q487" s="173">
        <f t="shared" si="2164"/>
        <v>-0.19296490130648869</v>
      </c>
      <c r="R487" s="173">
        <f t="shared" si="2164"/>
        <v>-0.83998039128890967</v>
      </c>
      <c r="S487" s="173">
        <f t="shared" si="2164"/>
        <v>-0.16615642899466876</v>
      </c>
      <c r="T487" s="173">
        <f t="shared" si="2164"/>
        <v>-0.11530912577413821</v>
      </c>
      <c r="U487" s="173">
        <f t="shared" si="2164"/>
        <v>-5.3930070296563954</v>
      </c>
      <c r="V487" s="173">
        <f t="shared" si="2164"/>
        <v>-10.595758205344731</v>
      </c>
      <c r="W487" s="173">
        <f t="shared" si="2164"/>
        <v>-8.5364337997132722</v>
      </c>
      <c r="X487" s="173">
        <f t="shared" si="2164"/>
        <v>-2.1584706064337906</v>
      </c>
      <c r="Y487" s="173">
        <f t="shared" si="2164"/>
        <v>2.3094863749755894</v>
      </c>
      <c r="Z487" s="173">
        <f t="shared" si="2164"/>
        <v>3.1268192707378031</v>
      </c>
      <c r="AA487" s="173">
        <f t="shared" si="2164"/>
        <v>0.69350784078814409</v>
      </c>
      <c r="AB487" s="173">
        <f t="shared" si="2164"/>
        <v>2.5265779483984696</v>
      </c>
      <c r="AC487" s="173">
        <f t="shared" si="2164"/>
        <v>1.1292460956600006</v>
      </c>
      <c r="AD487" s="173">
        <f t="shared" si="2164"/>
        <v>0.67512420196976186</v>
      </c>
      <c r="AE487" s="173">
        <f t="shared" si="2164"/>
        <v>1.1026372311548638</v>
      </c>
      <c r="AF487" s="173">
        <f t="shared" si="2164"/>
        <v>0.96388555286694877</v>
      </c>
      <c r="AG487" s="173">
        <f t="shared" si="2164"/>
        <v>0.32748424232607376</v>
      </c>
      <c r="AH487" s="173">
        <f t="shared" si="2164"/>
        <v>0.2350165526988417</v>
      </c>
      <c r="AI487" s="173">
        <f t="shared" si="2164"/>
        <v>-6.0378374295428805E-2</v>
      </c>
      <c r="AJ487" s="173">
        <f t="shared" ref="AJ487:AJ489" si="2165">+IFERROR(AJ482/AF482-1,"n/a")</f>
        <v>-0.12371670144766811</v>
      </c>
      <c r="AK487" s="173">
        <f t="shared" ref="AK487:AK489" si="2166">+IFERROR(AK482/AG482-1,"n/a")</f>
        <v>-9.4718841692318589E-2</v>
      </c>
      <c r="AL487" s="173">
        <f t="shared" ref="AL487:AL489" si="2167">+IFERROR(AL482/AH482-1,"n/a")</f>
        <v>3.3540129471443469E-2</v>
      </c>
      <c r="AM487" s="173">
        <f t="shared" ref="AM487:AM489" si="2168">+IFERROR(AM482/AI482-1,"n/a")</f>
        <v>0.13645319007105328</v>
      </c>
      <c r="AP487" s="173">
        <f>+IFERROR(AP482/AO482-1,"n/a")</f>
        <v>0.66304205284516771</v>
      </c>
      <c r="AQ487" s="173">
        <f t="shared" ref="AQ487:AX487" si="2169">+IFERROR(AQ482/AP482-1,"n/a")</f>
        <v>7.4356515827364174</v>
      </c>
      <c r="AR487" s="173">
        <f t="shared" si="2169"/>
        <v>0.51092753010988989</v>
      </c>
      <c r="AS487" s="173">
        <f t="shared" si="2169"/>
        <v>-3.5653009235842137E-2</v>
      </c>
      <c r="AT487" s="173">
        <f t="shared" si="2169"/>
        <v>-3.0237422064674502</v>
      </c>
      <c r="AU487" s="173">
        <f t="shared" si="2169"/>
        <v>2.5899441269912304</v>
      </c>
      <c r="AV487" s="173">
        <f t="shared" si="2169"/>
        <v>1.0969988984790571</v>
      </c>
      <c r="AW487" s="173">
        <f t="shared" si="2169"/>
        <v>0.26565564860178581</v>
      </c>
      <c r="AX487" s="173">
        <f t="shared" si="2169"/>
        <v>-1.0830200757487862E-2</v>
      </c>
    </row>
    <row r="488" spans="2:52" ht="13.5" x14ac:dyDescent="0.35">
      <c r="B488" s="20" t="s">
        <v>400</v>
      </c>
      <c r="L488" s="180" t="str">
        <f>+IFERROR(L483/H483-1,"n/a")</f>
        <v>n/a</v>
      </c>
      <c r="M488" s="180" t="str">
        <f t="shared" ref="M488:M489" si="2170">+IFERROR(M483/I483-1,"n/a")</f>
        <v>n/a</v>
      </c>
      <c r="N488" s="180" t="str">
        <f t="shared" ref="N488:N489" si="2171">+IFERROR(N483/J483-1,"n/a")</f>
        <v>n/a</v>
      </c>
      <c r="O488" s="180" t="str">
        <f t="shared" ref="O488:O489" si="2172">+IFERROR(O483/K483-1,"n/a")</f>
        <v>n/a</v>
      </c>
      <c r="P488" s="180" t="str">
        <f t="shared" ref="P488:P489" si="2173">+IFERROR(P483/L483-1,"n/a")</f>
        <v>n/a</v>
      </c>
      <c r="Q488" s="180" t="str">
        <f t="shared" ref="Q488:Q489" si="2174">+IFERROR(Q483/M483-1,"n/a")</f>
        <v>n/a</v>
      </c>
      <c r="R488" s="180" t="str">
        <f t="shared" ref="R488:R489" si="2175">+IFERROR(R483/N483-1,"n/a")</f>
        <v>n/a</v>
      </c>
      <c r="S488" s="180" t="str">
        <f t="shared" ref="S488:S489" si="2176">+IFERROR(S483/O483-1,"n/a")</f>
        <v>n/a</v>
      </c>
      <c r="T488" s="180" t="str">
        <f t="shared" ref="T488:T489" si="2177">+IFERROR(T483/P483-1,"n/a")</f>
        <v>n/a</v>
      </c>
      <c r="U488" s="180" t="str">
        <f t="shared" ref="U488:U489" si="2178">+IFERROR(U483/Q483-1,"n/a")</f>
        <v>n/a</v>
      </c>
      <c r="V488" s="180" t="str">
        <f t="shared" ref="V488:V489" si="2179">+IFERROR(V483/R483-1,"n/a")</f>
        <v>n/a</v>
      </c>
      <c r="W488" s="180" t="str">
        <f t="shared" ref="W488:W489" si="2180">+IFERROR(W483/S483-1,"n/a")</f>
        <v>n/a</v>
      </c>
      <c r="X488" s="180" t="str">
        <f t="shared" ref="X488:X489" si="2181">+IFERROR(X483/T483-1,"n/a")</f>
        <v>n/a</v>
      </c>
      <c r="Y488" s="180" t="str">
        <f t="shared" ref="Y488:Y489" si="2182">+IFERROR(Y483/U483-1,"n/a")</f>
        <v>n/a</v>
      </c>
      <c r="Z488" s="180" t="str">
        <f t="shared" ref="Z488:Z489" si="2183">+IFERROR(Z483/V483-1,"n/a")</f>
        <v>n/a</v>
      </c>
      <c r="AA488" s="180" t="str">
        <f t="shared" ref="AA488:AA489" si="2184">+IFERROR(AA483/W483-1,"n/a")</f>
        <v>n/a</v>
      </c>
      <c r="AB488" s="180" t="str">
        <f t="shared" ref="AB488:AB489" si="2185">+IFERROR(AB483/X483-1,"n/a")</f>
        <v>n/a</v>
      </c>
      <c r="AC488" s="180" t="str">
        <f t="shared" ref="AC488:AC489" si="2186">+IFERROR(AC483/Y483-1,"n/a")</f>
        <v>n/a</v>
      </c>
      <c r="AD488" s="180">
        <f t="shared" ref="AD488:AD489" si="2187">+IFERROR(AD483/Z483-1,"n/a")</f>
        <v>2.8230438093261414</v>
      </c>
      <c r="AE488" s="180">
        <f t="shared" ref="AE488:AF489" si="2188">+IFERROR(AE483/AA483-1,"n/a")</f>
        <v>1.0306056500013359</v>
      </c>
      <c r="AF488" s="180">
        <f t="shared" si="2188"/>
        <v>-1.6847325088436738</v>
      </c>
      <c r="AG488" s="180">
        <f t="shared" si="2164"/>
        <v>-1.6624826537247421</v>
      </c>
      <c r="AH488" s="180">
        <f t="shared" si="2164"/>
        <v>-0.75805558135593176</v>
      </c>
      <c r="AI488" s="180">
        <f t="shared" ref="AI488:AI489" si="2189">+IFERROR(AI483/AE483-1,"n/a")</f>
        <v>-0.36546900307855945</v>
      </c>
      <c r="AJ488" s="180">
        <f t="shared" si="2165"/>
        <v>-1.4862292452167463</v>
      </c>
      <c r="AK488" s="180">
        <f t="shared" si="2166"/>
        <v>-1.288946221015256</v>
      </c>
      <c r="AL488" s="180">
        <f t="shared" si="2167"/>
        <v>0.40414369329860111</v>
      </c>
      <c r="AM488" s="180">
        <f t="shared" si="2168"/>
        <v>-0.55647490369712616</v>
      </c>
      <c r="AP488" s="180" t="str">
        <f t="shared" ref="AP488:AX488" si="2190">+IFERROR(AP483/AO483-1,"n/a")</f>
        <v>n/a</v>
      </c>
      <c r="AQ488" s="180" t="str">
        <f t="shared" si="2190"/>
        <v>n/a</v>
      </c>
      <c r="AR488" s="180" t="str">
        <f t="shared" si="2190"/>
        <v>n/a</v>
      </c>
      <c r="AS488" s="180" t="str">
        <f t="shared" si="2190"/>
        <v>n/a</v>
      </c>
      <c r="AT488" s="180" t="str">
        <f t="shared" si="2190"/>
        <v>n/a</v>
      </c>
      <c r="AU488" s="180" t="str">
        <f t="shared" si="2190"/>
        <v>n/a</v>
      </c>
      <c r="AV488" s="180">
        <f t="shared" si="2190"/>
        <v>4.8434797622420165</v>
      </c>
      <c r="AW488" s="180">
        <f t="shared" si="2190"/>
        <v>-1.1732254425611166</v>
      </c>
      <c r="AX488" s="180">
        <f t="shared" si="2190"/>
        <v>-2.5682258540582277</v>
      </c>
    </row>
    <row r="489" spans="2:52" x14ac:dyDescent="0.2">
      <c r="B489" s="30" t="s">
        <v>410</v>
      </c>
      <c r="L489" s="173">
        <f>+IFERROR(L484/H484-1,"n/a")</f>
        <v>5.7713288494215504</v>
      </c>
      <c r="M489" s="173">
        <f t="shared" si="2170"/>
        <v>0.10139139175953082</v>
      </c>
      <c r="N489" s="173">
        <f t="shared" si="2171"/>
        <v>1.6879716664683593</v>
      </c>
      <c r="O489" s="173">
        <f t="shared" si="2172"/>
        <v>-0.36739367796915789</v>
      </c>
      <c r="P489" s="173">
        <f t="shared" si="2173"/>
        <v>1.2121489201788775</v>
      </c>
      <c r="Q489" s="173">
        <f t="shared" si="2174"/>
        <v>-0.19296490130648869</v>
      </c>
      <c r="R489" s="173">
        <f t="shared" si="2175"/>
        <v>-0.83998039128890967</v>
      </c>
      <c r="S489" s="173">
        <f t="shared" si="2176"/>
        <v>-0.16615642899466876</v>
      </c>
      <c r="T489" s="173">
        <f t="shared" si="2177"/>
        <v>-0.11530912577413821</v>
      </c>
      <c r="U489" s="173">
        <f t="shared" si="2178"/>
        <v>-5.3930070296563954</v>
      </c>
      <c r="V489" s="173">
        <f t="shared" si="2179"/>
        <v>-10.595758205344731</v>
      </c>
      <c r="W489" s="173">
        <f t="shared" si="2180"/>
        <v>-8.5364337997132722</v>
      </c>
      <c r="X489" s="173">
        <f t="shared" si="2181"/>
        <v>-2.1584706064337906</v>
      </c>
      <c r="Y489" s="173">
        <f t="shared" si="2182"/>
        <v>2.3094863749755894</v>
      </c>
      <c r="Z489" s="173">
        <f t="shared" si="2183"/>
        <v>2.7726257197402431</v>
      </c>
      <c r="AA489" s="173">
        <f t="shared" si="2184"/>
        <v>0.38102059223264595</v>
      </c>
      <c r="AB489" s="173">
        <f t="shared" si="2185"/>
        <v>1.3013491948669049</v>
      </c>
      <c r="AC489" s="173">
        <f t="shared" si="2186"/>
        <v>0.38589035826444285</v>
      </c>
      <c r="AD489" s="173">
        <f t="shared" si="2187"/>
        <v>0.47346643639655173</v>
      </c>
      <c r="AE489" s="173">
        <f t="shared" si="2188"/>
        <v>1.1189360110067841</v>
      </c>
      <c r="AF489" s="173">
        <f t="shared" si="2188"/>
        <v>2.3739988088513693</v>
      </c>
      <c r="AG489" s="173">
        <f t="shared" si="2164"/>
        <v>1.3948510080917864</v>
      </c>
      <c r="AH489" s="173">
        <f t="shared" si="2164"/>
        <v>0.47692261434504557</v>
      </c>
      <c r="AI489" s="173">
        <f t="shared" si="2189"/>
        <v>5.7775531419004267E-3</v>
      </c>
      <c r="AJ489" s="173">
        <f t="shared" si="2165"/>
        <v>-0.2709314055859775</v>
      </c>
      <c r="AK489" s="173">
        <f t="shared" si="2166"/>
        <v>-0.27191359558803474</v>
      </c>
      <c r="AL489" s="173">
        <f t="shared" si="2167"/>
        <v>1.8751313176064821E-2</v>
      </c>
      <c r="AM489" s="173">
        <f t="shared" si="2168"/>
        <v>0.23124677921860082</v>
      </c>
      <c r="AP489" s="173">
        <f t="shared" ref="AP489:AX489" si="2191">+IFERROR(AP484/AO484-1,"n/a")</f>
        <v>0.66304205284516771</v>
      </c>
      <c r="AQ489" s="173">
        <f t="shared" si="2191"/>
        <v>7.4356515827364174</v>
      </c>
      <c r="AR489" s="173">
        <f t="shared" si="2191"/>
        <v>0.51092753010988989</v>
      </c>
      <c r="AS489" s="173">
        <f t="shared" si="2191"/>
        <v>-3.5653009235842137E-2</v>
      </c>
      <c r="AT489" s="173">
        <f t="shared" si="2191"/>
        <v>-3.0237422064674502</v>
      </c>
      <c r="AU489" s="173">
        <f t="shared" si="2191"/>
        <v>2.2661022258336767</v>
      </c>
      <c r="AV489" s="173">
        <f t="shared" si="2191"/>
        <v>0.7255262985172779</v>
      </c>
      <c r="AW489" s="173">
        <f t="shared" si="2191"/>
        <v>0.74880136543539666</v>
      </c>
      <c r="AX489" s="173">
        <f t="shared" si="2191"/>
        <v>-9.5889607027542567E-2</v>
      </c>
    </row>
    <row r="490" spans="2:52" x14ac:dyDescent="0.2">
      <c r="B490" s="38"/>
    </row>
    <row r="491" spans="2:52" x14ac:dyDescent="0.2">
      <c r="B491" s="19" t="s">
        <v>87</v>
      </c>
    </row>
    <row r="492" spans="2:52" x14ac:dyDescent="0.2">
      <c r="B492" s="20" t="s">
        <v>401</v>
      </c>
      <c r="H492" s="196">
        <f>IFERROR(H482/H388,"n/a")</f>
        <v>-0.17299025569765825</v>
      </c>
      <c r="I492" s="196">
        <f t="shared" ref="I492:AI494" si="2192">IFERROR(I482/I388,"n/a")</f>
        <v>-0.30111338087282352</v>
      </c>
      <c r="J492" s="196">
        <f t="shared" si="2192"/>
        <v>-0.23425862393095992</v>
      </c>
      <c r="K492" s="196">
        <f t="shared" si="2192"/>
        <v>-0.37370466023408161</v>
      </c>
      <c r="L492" s="196">
        <f t="shared" si="2192"/>
        <v>-0.35683524875891176</v>
      </c>
      <c r="M492" s="196">
        <f t="shared" si="2192"/>
        <v>-0.12324238876006735</v>
      </c>
      <c r="N492" s="196">
        <f t="shared" si="2192"/>
        <v>-0.28261388021317158</v>
      </c>
      <c r="O492" s="196">
        <f t="shared" si="2192"/>
        <v>-0.12384563455052963</v>
      </c>
      <c r="P492" s="196">
        <f t="shared" si="2192"/>
        <v>-0.54851362753340105</v>
      </c>
      <c r="Q492" s="196">
        <f t="shared" si="2192"/>
        <v>-5.946463287465318E-2</v>
      </c>
      <c r="R492" s="196">
        <f t="shared" si="2192"/>
        <v>-2.3913737733626112E-2</v>
      </c>
      <c r="S492" s="196">
        <f t="shared" si="2192"/>
        <v>-4.1982605730686511E-2</v>
      </c>
      <c r="T492" s="196">
        <f t="shared" si="2192"/>
        <v>-0.1431918087251742</v>
      </c>
      <c r="U492" s="196">
        <f t="shared" si="2192"/>
        <v>0.13821103851304031</v>
      </c>
      <c r="V492" s="196">
        <f t="shared" si="2192"/>
        <v>0.15162102168172814</v>
      </c>
      <c r="W492" s="196">
        <f t="shared" si="2192"/>
        <v>0.30846148021314973</v>
      </c>
      <c r="X492" s="196">
        <f t="shared" si="2192"/>
        <v>0.15454333289806374</v>
      </c>
      <c r="Y492" s="196">
        <f t="shared" si="2192"/>
        <v>0.33529452440313423</v>
      </c>
      <c r="Z492" s="196">
        <f t="shared" si="2192"/>
        <v>0.37900821169671473</v>
      </c>
      <c r="AA492" s="196">
        <f t="shared" si="2192"/>
        <v>0.36117796648668943</v>
      </c>
      <c r="AB492" s="196">
        <f t="shared" si="2192"/>
        <v>0.35833901217161918</v>
      </c>
      <c r="AC492" s="196">
        <f t="shared" si="2192"/>
        <v>0.46954942574834679</v>
      </c>
      <c r="AD492" s="196">
        <f t="shared" si="2192"/>
        <v>0.45202947194695869</v>
      </c>
      <c r="AE492" s="196">
        <f t="shared" si="2192"/>
        <v>0.48003051924449253</v>
      </c>
      <c r="AF492" s="196">
        <f t="shared" ref="AF492:AG492" si="2193">IFERROR(AF482/AF388,"n/a")</f>
        <v>0.4703586941635477</v>
      </c>
      <c r="AG492" s="196">
        <f t="shared" si="2193"/>
        <v>0.48468864523922228</v>
      </c>
      <c r="AH492" s="196">
        <f t="shared" ref="AH492" si="2194">IFERROR(AH482/AH388,"n/a")</f>
        <v>0.45695219224365408</v>
      </c>
      <c r="AI492" s="196">
        <f t="shared" si="2192"/>
        <v>0.41576703416955801</v>
      </c>
      <c r="AJ492" s="196">
        <f t="shared" ref="AJ492:AM492" si="2195">IFERROR(AJ482/AJ388,"n/a")</f>
        <v>0.39062102528866138</v>
      </c>
      <c r="AK492" s="196">
        <f t="shared" si="2195"/>
        <v>0.41546493393692996</v>
      </c>
      <c r="AL492" s="196">
        <f t="shared" si="2195"/>
        <v>0.41614659767813106</v>
      </c>
      <c r="AM492" s="196">
        <f t="shared" si="2195"/>
        <v>0.40993817777218095</v>
      </c>
      <c r="AN492" s="196"/>
      <c r="AO492" s="196">
        <f>IFERROR(AO482/AO388,"n/a")</f>
        <v>-0.55885347341066116</v>
      </c>
      <c r="AP492" s="196">
        <f t="shared" ref="AP492:AW492" si="2196">IFERROR(AP482/AP388,"n/a")</f>
        <v>-0.26903586770301285</v>
      </c>
      <c r="AQ492" s="196">
        <f t="shared" si="2196"/>
        <v>-0.30168986409288406</v>
      </c>
      <c r="AR492" s="196">
        <f t="shared" si="2196"/>
        <v>-0.19841177157925688</v>
      </c>
      <c r="AS492" s="196">
        <f t="shared" si="2196"/>
        <v>-9.6942363464315687E-2</v>
      </c>
      <c r="AT492" s="196">
        <f t="shared" si="2196"/>
        <v>0.12423096943149702</v>
      </c>
      <c r="AU492" s="196">
        <f t="shared" si="2196"/>
        <v>0.32200472050176038</v>
      </c>
      <c r="AV492" s="196">
        <f t="shared" si="2196"/>
        <v>0.44790877831066811</v>
      </c>
      <c r="AW492" s="196">
        <f t="shared" si="2196"/>
        <v>0.45550647103689568</v>
      </c>
      <c r="AX492" s="196">
        <f t="shared" ref="AX492" si="2197">IFERROR(AX482/AX388,"n/a")</f>
        <v>0.40876565640944179</v>
      </c>
    </row>
    <row r="493" spans="2:52" ht="13.5" x14ac:dyDescent="0.35">
      <c r="B493" s="20" t="s">
        <v>400</v>
      </c>
      <c r="H493" s="198" t="str">
        <f t="shared" ref="H493:W494" si="2198">IFERROR(H483/H389,"n/a")</f>
        <v>n/a</v>
      </c>
      <c r="I493" s="198" t="str">
        <f t="shared" si="2198"/>
        <v>n/a</v>
      </c>
      <c r="J493" s="198" t="str">
        <f t="shared" si="2198"/>
        <v>n/a</v>
      </c>
      <c r="K493" s="198" t="str">
        <f t="shared" si="2198"/>
        <v>n/a</v>
      </c>
      <c r="L493" s="198" t="str">
        <f t="shared" si="2198"/>
        <v>n/a</v>
      </c>
      <c r="M493" s="198" t="str">
        <f t="shared" si="2198"/>
        <v>n/a</v>
      </c>
      <c r="N493" s="198" t="str">
        <f t="shared" si="2198"/>
        <v>n/a</v>
      </c>
      <c r="O493" s="198" t="str">
        <f t="shared" si="2198"/>
        <v>n/a</v>
      </c>
      <c r="P493" s="198" t="str">
        <f t="shared" si="2198"/>
        <v>n/a</v>
      </c>
      <c r="Q493" s="198" t="str">
        <f t="shared" si="2198"/>
        <v>n/a</v>
      </c>
      <c r="R493" s="198" t="str">
        <f t="shared" si="2198"/>
        <v>n/a</v>
      </c>
      <c r="S493" s="198" t="str">
        <f t="shared" si="2198"/>
        <v>n/a</v>
      </c>
      <c r="T493" s="198" t="str">
        <f t="shared" si="2198"/>
        <v>n/a</v>
      </c>
      <c r="U493" s="198" t="str">
        <f t="shared" si="2198"/>
        <v>n/a</v>
      </c>
      <c r="V493" s="198" t="str">
        <f t="shared" si="2198"/>
        <v>n/a</v>
      </c>
      <c r="W493" s="198" t="str">
        <f t="shared" si="2198"/>
        <v>n/a</v>
      </c>
      <c r="X493" s="198" t="str">
        <f t="shared" si="2192"/>
        <v>n/a</v>
      </c>
      <c r="Y493" s="198" t="str">
        <f t="shared" si="2192"/>
        <v>n/a</v>
      </c>
      <c r="Z493" s="198" t="str">
        <f t="shared" si="2192"/>
        <v>n/a</v>
      </c>
      <c r="AA493" s="198">
        <f t="shared" si="2192"/>
        <v>-6.0303955772527624</v>
      </c>
      <c r="AB493" s="198">
        <f t="shared" si="2192"/>
        <v>-3.1104085145742579</v>
      </c>
      <c r="AC493" s="198">
        <f t="shared" si="2192"/>
        <v>-1.7496823513290736</v>
      </c>
      <c r="AD493" s="198">
        <f t="shared" si="2192"/>
        <v>-0.2327077119731043</v>
      </c>
      <c r="AE493" s="198">
        <f t="shared" si="2192"/>
        <v>-0.20057736544042423</v>
      </c>
      <c r="AF493" s="198">
        <f t="shared" ref="AF493:AG493" si="2199">IFERROR(AF483/AF389,"n/a")</f>
        <v>9.4434460815881929E-2</v>
      </c>
      <c r="AG493" s="198">
        <f t="shared" si="2199"/>
        <v>0.14588398147072335</v>
      </c>
      <c r="AH493" s="198">
        <f t="shared" ref="AH493" si="2200">IFERROR(AH483/AH389,"n/a")</f>
        <v>-2.7796448939612094E-2</v>
      </c>
      <c r="AI493" s="198">
        <f t="shared" si="2192"/>
        <v>-8.0000000000000016E-2</v>
      </c>
      <c r="AJ493" s="198">
        <f t="shared" ref="AJ493:AM493" si="2201">IFERROR(AJ483/AJ389,"n/a")</f>
        <v>-3.9245125303381763E-2</v>
      </c>
      <c r="AK493" s="198">
        <f t="shared" si="2201"/>
        <v>-3.2425096271250113E-2</v>
      </c>
      <c r="AL493" s="198">
        <f t="shared" si="2201"/>
        <v>-3.0023237288194549E-2</v>
      </c>
      <c r="AM493" s="198">
        <f t="shared" si="2201"/>
        <v>-2.7293852080176855E-2</v>
      </c>
      <c r="AN493" s="198"/>
      <c r="AO493" s="198" t="str">
        <f t="shared" ref="AO493:AW493" si="2202">IFERROR(AO483/AO389,"n/a")</f>
        <v>n/a</v>
      </c>
      <c r="AP493" s="198" t="str">
        <f t="shared" si="2202"/>
        <v>n/a</v>
      </c>
      <c r="AQ493" s="198" t="str">
        <f t="shared" si="2202"/>
        <v>n/a</v>
      </c>
      <c r="AR493" s="198" t="str">
        <f t="shared" si="2202"/>
        <v>n/a</v>
      </c>
      <c r="AS493" s="198" t="str">
        <f t="shared" si="2202"/>
        <v>n/a</v>
      </c>
      <c r="AT493" s="198" t="str">
        <f t="shared" si="2202"/>
        <v>n/a</v>
      </c>
      <c r="AU493" s="198">
        <f t="shared" si="2202"/>
        <v>-8.6838155671718376</v>
      </c>
      <c r="AV493" s="198">
        <f t="shared" si="2202"/>
        <v>-0.4290874171773863</v>
      </c>
      <c r="AW493" s="198">
        <f t="shared" si="2202"/>
        <v>2.5684700836362442E-2</v>
      </c>
      <c r="AX493" s="198">
        <f t="shared" ref="AX493" si="2203">IFERROR(AX483/AX389,"n/a")</f>
        <v>-3.1678901986440758E-2</v>
      </c>
    </row>
    <row r="494" spans="2:52" x14ac:dyDescent="0.2">
      <c r="B494" s="30" t="s">
        <v>410</v>
      </c>
      <c r="H494" s="196">
        <f t="shared" si="2198"/>
        <v>-0.17299025569765825</v>
      </c>
      <c r="I494" s="196">
        <f t="shared" si="2192"/>
        <v>-0.30111338087282352</v>
      </c>
      <c r="J494" s="196">
        <f t="shared" si="2192"/>
        <v>-0.23425862393095992</v>
      </c>
      <c r="K494" s="196">
        <f t="shared" si="2192"/>
        <v>-0.37370466023408161</v>
      </c>
      <c r="L494" s="196">
        <f t="shared" si="2192"/>
        <v>-0.35683524875891176</v>
      </c>
      <c r="M494" s="196">
        <f t="shared" si="2192"/>
        <v>-0.12324238876006735</v>
      </c>
      <c r="N494" s="196">
        <f t="shared" si="2192"/>
        <v>-0.28261388021317158</v>
      </c>
      <c r="O494" s="196">
        <f t="shared" si="2192"/>
        <v>-0.12384563455052963</v>
      </c>
      <c r="P494" s="196">
        <f t="shared" si="2192"/>
        <v>-0.54851362753340105</v>
      </c>
      <c r="Q494" s="196">
        <f t="shared" si="2192"/>
        <v>-5.946463287465318E-2</v>
      </c>
      <c r="R494" s="196">
        <f t="shared" si="2192"/>
        <v>-2.3913737733626112E-2</v>
      </c>
      <c r="S494" s="196">
        <f t="shared" si="2192"/>
        <v>-4.1982605730686511E-2</v>
      </c>
      <c r="T494" s="196">
        <f t="shared" si="2192"/>
        <v>-0.1431918087251742</v>
      </c>
      <c r="U494" s="196">
        <f t="shared" si="2192"/>
        <v>0.13821103851304031</v>
      </c>
      <c r="V494" s="196">
        <f t="shared" si="2192"/>
        <v>0.15162102168172814</v>
      </c>
      <c r="W494" s="196">
        <f t="shared" si="2192"/>
        <v>0.30846148021314973</v>
      </c>
      <c r="X494" s="196">
        <f t="shared" si="2192"/>
        <v>0.15454333289806374</v>
      </c>
      <c r="Y494" s="196">
        <f t="shared" si="2192"/>
        <v>0.33529452440313423</v>
      </c>
      <c r="Z494" s="196">
        <f t="shared" si="2192"/>
        <v>0.34647897899927843</v>
      </c>
      <c r="AA494" s="196">
        <f t="shared" si="2192"/>
        <v>0.29131370776534848</v>
      </c>
      <c r="AB494" s="196">
        <f t="shared" si="2192"/>
        <v>0.22484280781835991</v>
      </c>
      <c r="AC494" s="196">
        <f t="shared" si="2192"/>
        <v>0.27944099040051978</v>
      </c>
      <c r="AD494" s="196">
        <f t="shared" si="2192"/>
        <v>0.26330247406714291</v>
      </c>
      <c r="AE494" s="196">
        <f t="shared" si="2192"/>
        <v>0.27654844167207948</v>
      </c>
      <c r="AF494" s="196">
        <f t="shared" ref="AF494:AG494" si="2204">IFERROR(AF484/AF390,"n/a")</f>
        <v>0.32889664556856102</v>
      </c>
      <c r="AG494" s="196">
        <f t="shared" si="2204"/>
        <v>0.36047256399786232</v>
      </c>
      <c r="AH494" s="196">
        <f t="shared" ref="AH494" si="2205">IFERROR(AH484/AH390,"n/a")</f>
        <v>0.26944415879473721</v>
      </c>
      <c r="AI494" s="196">
        <f t="shared" si="2192"/>
        <v>0.22501006800454193</v>
      </c>
      <c r="AJ494" s="196">
        <f t="shared" ref="AJ494:AM494" si="2206">IFERROR(AJ484/AJ390,"n/a")</f>
        <v>0.21831189398922762</v>
      </c>
      <c r="AK494" s="196">
        <f t="shared" si="2206"/>
        <v>0.22911208129716296</v>
      </c>
      <c r="AL494" s="196">
        <f t="shared" si="2206"/>
        <v>0.22898495933923618</v>
      </c>
      <c r="AM494" s="196">
        <f t="shared" si="2206"/>
        <v>0.22908929728832894</v>
      </c>
      <c r="AN494" s="196"/>
      <c r="AO494" s="196">
        <f t="shared" ref="AO494:AW494" si="2207">IFERROR(AO484/AO390,"n/a")</f>
        <v>-0.55885347341066116</v>
      </c>
      <c r="AP494" s="196">
        <f t="shared" si="2207"/>
        <v>-0.26903586770301285</v>
      </c>
      <c r="AQ494" s="196">
        <f t="shared" si="2207"/>
        <v>-0.30168986409288412</v>
      </c>
      <c r="AR494" s="196">
        <f t="shared" si="2207"/>
        <v>-0.19841177157925691</v>
      </c>
      <c r="AS494" s="196">
        <f t="shared" si="2207"/>
        <v>-9.6942363464315687E-2</v>
      </c>
      <c r="AT494" s="196">
        <f t="shared" si="2207"/>
        <v>0.12423096943149702</v>
      </c>
      <c r="AU494" s="196">
        <f t="shared" si="2207"/>
        <v>0.29198062167033423</v>
      </c>
      <c r="AV494" s="196">
        <f t="shared" si="2207"/>
        <v>0.26561850737648746</v>
      </c>
      <c r="AW494" s="196">
        <f t="shared" si="2207"/>
        <v>0.29263028496166654</v>
      </c>
      <c r="AX494" s="196">
        <f t="shared" ref="AX494" si="2208">IFERROR(AX484/AX390,"n/a")</f>
        <v>0.22682642666983996</v>
      </c>
    </row>
    <row r="495" spans="2:52" x14ac:dyDescent="0.2">
      <c r="B495" s="30"/>
      <c r="H495" s="196"/>
      <c r="I495" s="196"/>
      <c r="J495" s="196"/>
      <c r="K495" s="196"/>
      <c r="L495" s="196"/>
      <c r="M495" s="196"/>
      <c r="N495" s="196"/>
      <c r="O495" s="196"/>
      <c r="P495" s="196"/>
      <c r="Q495" s="196"/>
      <c r="R495" s="196"/>
      <c r="S495" s="196"/>
      <c r="T495" s="196"/>
      <c r="U495" s="196"/>
      <c r="V495" s="196"/>
      <c r="W495" s="196"/>
      <c r="X495" s="196"/>
      <c r="Y495" s="196"/>
      <c r="Z495" s="196"/>
      <c r="AA495" s="196"/>
      <c r="AB495" s="196"/>
      <c r="AC495" s="196"/>
      <c r="AD495" s="196"/>
      <c r="AE495" s="196"/>
      <c r="AF495" s="196"/>
      <c r="AG495" s="196"/>
      <c r="AH495" s="196"/>
      <c r="AI495" s="196"/>
      <c r="AJ495" s="196"/>
      <c r="AK495" s="196"/>
      <c r="AL495" s="196"/>
      <c r="AM495" s="196"/>
      <c r="AN495" s="196"/>
      <c r="AO495" s="196"/>
      <c r="AP495" s="196"/>
      <c r="AQ495" s="196"/>
      <c r="AR495" s="196"/>
      <c r="AS495" s="196"/>
      <c r="AT495" s="196"/>
      <c r="AU495" s="196"/>
      <c r="AV495" s="196"/>
      <c r="AW495" s="196"/>
      <c r="AX495" s="196"/>
    </row>
    <row r="496" spans="2:52" x14ac:dyDescent="0.2">
      <c r="B496" s="6" t="s">
        <v>221</v>
      </c>
      <c r="C496" s="5"/>
      <c r="AG496" s="196"/>
    </row>
    <row r="498" spans="2:48" x14ac:dyDescent="0.2">
      <c r="B498" s="24" t="s">
        <v>333</v>
      </c>
    </row>
    <row r="499" spans="2:48" x14ac:dyDescent="0.2">
      <c r="B499" t="s">
        <v>105</v>
      </c>
      <c r="H499" s="11">
        <v>294.89999999999998</v>
      </c>
      <c r="I499" s="11">
        <v>343.6</v>
      </c>
      <c r="J499" s="11">
        <v>385.5</v>
      </c>
      <c r="K499" s="11">
        <v>418.5</v>
      </c>
      <c r="L499" s="11">
        <v>443.3</v>
      </c>
      <c r="M499" s="11">
        <v>483.2</v>
      </c>
      <c r="N499" s="11">
        <v>536.29999999999995</v>
      </c>
      <c r="O499" s="11">
        <v>585.20000000000005</v>
      </c>
      <c r="P499" s="11">
        <v>628.1</v>
      </c>
      <c r="Q499" s="11">
        <v>683.2</v>
      </c>
      <c r="R499" s="11">
        <v>731.3</v>
      </c>
      <c r="S499" s="11">
        <v>788.4</v>
      </c>
      <c r="T499" s="11">
        <v>823.8</v>
      </c>
      <c r="U499" s="11">
        <v>849.9</v>
      </c>
      <c r="V499" s="11">
        <v>867.3</v>
      </c>
      <c r="W499" s="11">
        <v>868.7</v>
      </c>
      <c r="X499" s="11">
        <v>881.9</v>
      </c>
      <c r="Y499" s="12" t="s">
        <v>64</v>
      </c>
      <c r="Z499" s="12" t="s">
        <v>64</v>
      </c>
      <c r="AA499" s="12" t="s">
        <v>64</v>
      </c>
      <c r="AB499" s="12" t="s">
        <v>64</v>
      </c>
      <c r="AC499" s="12" t="s">
        <v>64</v>
      </c>
      <c r="AD499" s="12" t="s">
        <v>64</v>
      </c>
      <c r="AE499" s="12" t="s">
        <v>64</v>
      </c>
      <c r="AF499" s="12" t="s">
        <v>64</v>
      </c>
      <c r="AG499" s="12" t="s">
        <v>64</v>
      </c>
      <c r="AH499" s="12" t="s">
        <v>64</v>
      </c>
      <c r="AO499" s="12" t="s">
        <v>64</v>
      </c>
      <c r="AP499" s="11">
        <v>244.8</v>
      </c>
      <c r="AQ499" s="11">
        <v>418.5</v>
      </c>
      <c r="AR499" s="11">
        <v>585.20000000000005</v>
      </c>
      <c r="AS499" s="11">
        <v>788.4</v>
      </c>
      <c r="AT499" s="11">
        <v>868.7</v>
      </c>
      <c r="AU499" s="12" t="s">
        <v>64</v>
      </c>
      <c r="AV499" s="12" t="s">
        <v>64</v>
      </c>
    </row>
    <row r="500" spans="2:48" ht="13.5" x14ac:dyDescent="0.35">
      <c r="B500" t="s">
        <v>110</v>
      </c>
      <c r="H500" s="13">
        <v>673.9</v>
      </c>
      <c r="I500" s="13">
        <v>762.8</v>
      </c>
      <c r="J500" s="13">
        <v>894.4</v>
      </c>
      <c r="K500" s="13">
        <v>1126.9000000000001</v>
      </c>
      <c r="L500" s="13">
        <v>1257.3</v>
      </c>
      <c r="M500" s="13">
        <v>1467.5</v>
      </c>
      <c r="N500" s="13">
        <v>1566.7</v>
      </c>
      <c r="O500" s="13">
        <v>1720.1</v>
      </c>
      <c r="P500" s="13">
        <v>1842.4</v>
      </c>
      <c r="Q500" s="13">
        <v>1857</v>
      </c>
      <c r="R500" s="13">
        <v>1993.1</v>
      </c>
      <c r="S500" s="13">
        <v>2115.1999999999998</v>
      </c>
      <c r="T500" s="36" t="str">
        <f>IFERROR(T501/T499*1000,"n/a")</f>
        <v>n/a</v>
      </c>
      <c r="U500" s="36" t="str">
        <f t="shared" ref="U500:AD500" si="2209">IFERROR(U501/U499*1000,"n/a")</f>
        <v>n/a</v>
      </c>
      <c r="V500" s="36" t="str">
        <f t="shared" si="2209"/>
        <v>n/a</v>
      </c>
      <c r="W500" s="36">
        <f t="shared" si="2209"/>
        <v>2809.9458961666855</v>
      </c>
      <c r="X500" s="36" t="str">
        <f t="shared" si="2209"/>
        <v>n/a</v>
      </c>
      <c r="Y500" s="36" t="str">
        <f t="shared" si="2209"/>
        <v>n/a</v>
      </c>
      <c r="Z500" s="36" t="str">
        <f t="shared" si="2209"/>
        <v>n/a</v>
      </c>
      <c r="AA500" s="36" t="str">
        <f t="shared" si="2209"/>
        <v>n/a</v>
      </c>
      <c r="AB500" s="36" t="str">
        <f t="shared" si="2209"/>
        <v>n/a</v>
      </c>
      <c r="AC500" s="36" t="str">
        <f t="shared" si="2209"/>
        <v>n/a</v>
      </c>
      <c r="AD500" s="36" t="str">
        <f t="shared" si="2209"/>
        <v>n/a</v>
      </c>
      <c r="AE500" s="36" t="str">
        <f t="shared" ref="AE500:AG500" si="2210">IFERROR(AE501/AE499*1000,"n/a")</f>
        <v>n/a</v>
      </c>
      <c r="AF500" s="36" t="str">
        <f t="shared" si="2210"/>
        <v>n/a</v>
      </c>
      <c r="AG500" s="36" t="str">
        <f t="shared" si="2210"/>
        <v>n/a</v>
      </c>
      <c r="AH500" s="36" t="str">
        <f t="shared" ref="AH500" si="2211">IFERROR(AH501/AH499*1000,"n/a")</f>
        <v>n/a</v>
      </c>
      <c r="AI500" s="16"/>
      <c r="AJ500" s="16"/>
      <c r="AK500" s="16"/>
      <c r="AL500" s="16"/>
      <c r="AM500" s="16"/>
      <c r="AN500" s="16"/>
      <c r="AO500" s="36" t="str">
        <f t="shared" ref="AO500" si="2212">IFERROR(AO501/AO499*1000,"n/a")</f>
        <v>n/a</v>
      </c>
      <c r="AP500" s="13">
        <v>576.9</v>
      </c>
      <c r="AQ500" s="13">
        <v>1126.9000000000001</v>
      </c>
      <c r="AR500" s="13">
        <v>1720.1</v>
      </c>
      <c r="AS500" s="13">
        <v>2115.1999999999998</v>
      </c>
      <c r="AT500" s="13">
        <v>2810</v>
      </c>
      <c r="AU500" s="36" t="str">
        <f t="shared" ref="AU500:AV500" si="2213">IFERROR(AU501/AU499*1000,"n/a")</f>
        <v>n/a</v>
      </c>
      <c r="AV500" s="36" t="str">
        <f t="shared" si="2213"/>
        <v>n/a</v>
      </c>
    </row>
    <row r="501" spans="2:48" s="1" customFormat="1" x14ac:dyDescent="0.2">
      <c r="B501" s="38" t="s">
        <v>334</v>
      </c>
      <c r="H501" s="39">
        <v>198.7</v>
      </c>
      <c r="I501" s="39">
        <v>262.10000000000002</v>
      </c>
      <c r="J501" s="39">
        <v>344.8</v>
      </c>
      <c r="K501" s="39">
        <v>471.6</v>
      </c>
      <c r="L501" s="39">
        <v>557.4</v>
      </c>
      <c r="M501" s="39">
        <v>709.1</v>
      </c>
      <c r="N501" s="39">
        <v>840.2</v>
      </c>
      <c r="O501" s="39">
        <v>1006.6</v>
      </c>
      <c r="P501" s="39">
        <v>1157.2</v>
      </c>
      <c r="Q501" s="39">
        <v>1268.7</v>
      </c>
      <c r="R501" s="39">
        <v>1457.6</v>
      </c>
      <c r="S501" s="39">
        <v>1667.6</v>
      </c>
      <c r="T501" s="40" t="s">
        <v>64</v>
      </c>
      <c r="U501" s="40" t="s">
        <v>64</v>
      </c>
      <c r="V501" s="40" t="s">
        <v>64</v>
      </c>
      <c r="W501" s="40">
        <v>2441</v>
      </c>
      <c r="X501" s="40" t="s">
        <v>64</v>
      </c>
      <c r="Y501" s="40" t="s">
        <v>64</v>
      </c>
      <c r="Z501" s="40" t="s">
        <v>64</v>
      </c>
      <c r="AA501" s="40" t="s">
        <v>64</v>
      </c>
      <c r="AB501" s="40" t="s">
        <v>64</v>
      </c>
      <c r="AC501" s="40" t="s">
        <v>64</v>
      </c>
      <c r="AD501" s="40" t="s">
        <v>64</v>
      </c>
      <c r="AE501" s="40" t="s">
        <v>64</v>
      </c>
      <c r="AF501" s="40" t="s">
        <v>64</v>
      </c>
      <c r="AG501" s="40" t="s">
        <v>64</v>
      </c>
      <c r="AH501" s="40" t="s">
        <v>64</v>
      </c>
      <c r="AO501" s="40" t="s">
        <v>64</v>
      </c>
      <c r="AP501" s="39">
        <v>141.19999999999999</v>
      </c>
      <c r="AQ501" s="39">
        <v>471.6</v>
      </c>
      <c r="AR501" s="39">
        <v>1006.6</v>
      </c>
      <c r="AS501" s="39">
        <v>1667.6</v>
      </c>
      <c r="AT501" s="39">
        <v>2441</v>
      </c>
      <c r="AU501" s="40" t="s">
        <v>64</v>
      </c>
      <c r="AV501" s="40" t="s">
        <v>64</v>
      </c>
    </row>
    <row r="502" spans="2:48" s="1" customFormat="1" x14ac:dyDescent="0.2">
      <c r="B502" s="38"/>
      <c r="H502" s="39"/>
      <c r="I502" s="39"/>
      <c r="J502" s="39"/>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O502" s="42"/>
      <c r="AP502" s="42"/>
      <c r="AQ502" s="42"/>
      <c r="AR502" s="42"/>
      <c r="AS502" s="42"/>
      <c r="AT502" s="42"/>
      <c r="AU502" s="42"/>
      <c r="AV502" s="42"/>
    </row>
    <row r="503" spans="2:48" s="1" customFormat="1" x14ac:dyDescent="0.2">
      <c r="B503" s="19" t="s">
        <v>85</v>
      </c>
      <c r="H503" s="39"/>
      <c r="I503" s="39"/>
      <c r="J503" s="39"/>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O503" s="42"/>
      <c r="AP503" s="42"/>
      <c r="AQ503" s="42"/>
      <c r="AR503" s="42"/>
      <c r="AS503" s="42"/>
      <c r="AT503" s="42"/>
      <c r="AU503" s="42"/>
      <c r="AV503" s="42"/>
    </row>
    <row r="504" spans="2:48" s="1" customFormat="1" x14ac:dyDescent="0.2">
      <c r="B504" s="20" t="s">
        <v>105</v>
      </c>
      <c r="H504" s="39"/>
      <c r="I504" s="39"/>
      <c r="J504" s="39"/>
      <c r="K504" s="42"/>
      <c r="L504" s="46">
        <f>IFERROR(L499/H499-1,"n/a")</f>
        <v>0.50322143099355721</v>
      </c>
      <c r="M504" s="46">
        <f t="shared" ref="M504:M506" si="2214">IFERROR(M499/I499-1,"n/a")</f>
        <v>0.40628637951105917</v>
      </c>
      <c r="N504" s="46">
        <f t="shared" ref="N504:N506" si="2215">IFERROR(N499/J499-1,"n/a")</f>
        <v>0.39118028534370941</v>
      </c>
      <c r="O504" s="46">
        <f t="shared" ref="O504:O506" si="2216">IFERROR(O499/K499-1,"n/a")</f>
        <v>0.3983273596176824</v>
      </c>
      <c r="P504" s="46">
        <f t="shared" ref="P504:P506" si="2217">IFERROR(P499/L499-1,"n/a")</f>
        <v>0.41687344913151358</v>
      </c>
      <c r="Q504" s="46">
        <f t="shared" ref="Q504:Q506" si="2218">IFERROR(Q499/M499-1,"n/a")</f>
        <v>0.41390728476821215</v>
      </c>
      <c r="R504" s="46">
        <f t="shared" ref="R504:R506" si="2219">IFERROR(R499/N499-1,"n/a")</f>
        <v>0.36360246130896878</v>
      </c>
      <c r="S504" s="46">
        <f t="shared" ref="S504:S506" si="2220">IFERROR(S499/O499-1,"n/a")</f>
        <v>0.34723171565276822</v>
      </c>
      <c r="T504" s="46">
        <f t="shared" ref="T504:T506" si="2221">IFERROR(T499/P499-1,"n/a")</f>
        <v>0.31157459003343413</v>
      </c>
      <c r="U504" s="46">
        <f t="shared" ref="U504:U506" si="2222">IFERROR(U499/Q499-1,"n/a")</f>
        <v>0.24399882903981251</v>
      </c>
      <c r="V504" s="46">
        <f t="shared" ref="V504:V506" si="2223">IFERROR(V499/R499-1,"n/a")</f>
        <v>0.18597019007247373</v>
      </c>
      <c r="W504" s="46">
        <f t="shared" ref="W504:W506" si="2224">IFERROR(W499/S499-1,"n/a")</f>
        <v>0.10185185185185186</v>
      </c>
      <c r="X504" s="46">
        <f t="shared" ref="X504:X506" si="2225">IFERROR(X499/T499-1,"n/a")</f>
        <v>7.0526826899732997E-2</v>
      </c>
      <c r="Y504" s="46" t="str">
        <f t="shared" ref="Y504:Y506" si="2226">IFERROR(Y499/U499-1,"n/a")</f>
        <v>n/a</v>
      </c>
      <c r="Z504" s="46" t="str">
        <f t="shared" ref="Z504:Z506" si="2227">IFERROR(Z499/V499-1,"n/a")</f>
        <v>n/a</v>
      </c>
      <c r="AA504" s="46" t="str">
        <f t="shared" ref="AA504:AA506" si="2228">IFERROR(AA499/W499-1,"n/a")</f>
        <v>n/a</v>
      </c>
      <c r="AB504" s="46" t="str">
        <f t="shared" ref="AB504:AB506" si="2229">IFERROR(AB499/X499-1,"n/a")</f>
        <v>n/a</v>
      </c>
      <c r="AC504" s="46" t="str">
        <f t="shared" ref="AC504:AC506" si="2230">IFERROR(AC499/Y499-1,"n/a")</f>
        <v>n/a</v>
      </c>
      <c r="AD504" s="46" t="str">
        <f t="shared" ref="AD504:AH506" si="2231">IFERROR(AD499/Z499-1,"n/a")</f>
        <v>n/a</v>
      </c>
      <c r="AE504" s="46" t="str">
        <f t="shared" si="2231"/>
        <v>n/a</v>
      </c>
      <c r="AF504" s="46" t="str">
        <f t="shared" si="2231"/>
        <v>n/a</v>
      </c>
      <c r="AG504" s="46" t="str">
        <f t="shared" si="2231"/>
        <v>n/a</v>
      </c>
      <c r="AH504" s="46" t="str">
        <f t="shared" si="2231"/>
        <v>n/a</v>
      </c>
      <c r="AO504" s="42"/>
      <c r="AP504" s="46" t="str">
        <f>IFERROR(AP499/AO499-1,"n/a")</f>
        <v>n/a</v>
      </c>
      <c r="AQ504" s="46">
        <f t="shared" ref="AQ504:AV504" si="2232">IFERROR(AQ499/AP499-1,"n/a")</f>
        <v>0.70955882352941169</v>
      </c>
      <c r="AR504" s="46">
        <f t="shared" si="2232"/>
        <v>0.3983273596176824</v>
      </c>
      <c r="AS504" s="46">
        <f t="shared" si="2232"/>
        <v>0.34723171565276822</v>
      </c>
      <c r="AT504" s="46">
        <f t="shared" si="2232"/>
        <v>0.10185185185185186</v>
      </c>
      <c r="AU504" s="46" t="str">
        <f t="shared" si="2232"/>
        <v>n/a</v>
      </c>
      <c r="AV504" s="46" t="str">
        <f t="shared" si="2232"/>
        <v>n/a</v>
      </c>
    </row>
    <row r="505" spans="2:48" s="1" customFormat="1" ht="13.5" x14ac:dyDescent="0.35">
      <c r="B505" s="20" t="s">
        <v>110</v>
      </c>
      <c r="H505" s="39"/>
      <c r="I505" s="39"/>
      <c r="J505" s="39"/>
      <c r="K505" s="42"/>
      <c r="L505" s="47">
        <f t="shared" ref="L505:L506" si="2233">IFERROR(L500/H500-1,"n/a")</f>
        <v>0.86570707820151349</v>
      </c>
      <c r="M505" s="47">
        <f t="shared" si="2214"/>
        <v>0.92383324593602523</v>
      </c>
      <c r="N505" s="47">
        <f t="shared" si="2215"/>
        <v>0.75167710196779969</v>
      </c>
      <c r="O505" s="47">
        <f t="shared" si="2216"/>
        <v>0.52639985801757017</v>
      </c>
      <c r="P505" s="47">
        <f t="shared" si="2217"/>
        <v>0.4653622842599221</v>
      </c>
      <c r="Q505" s="47">
        <f t="shared" si="2218"/>
        <v>0.26541737649063024</v>
      </c>
      <c r="R505" s="47">
        <f t="shared" si="2219"/>
        <v>0.27216442203357372</v>
      </c>
      <c r="S505" s="47">
        <f t="shared" si="2220"/>
        <v>0.22969594791000514</v>
      </c>
      <c r="T505" s="47" t="str">
        <f t="shared" si="2221"/>
        <v>n/a</v>
      </c>
      <c r="U505" s="47" t="str">
        <f t="shared" si="2222"/>
        <v>n/a</v>
      </c>
      <c r="V505" s="47" t="str">
        <f t="shared" si="2223"/>
        <v>n/a</v>
      </c>
      <c r="W505" s="47">
        <f t="shared" si="2224"/>
        <v>0.3284539978095149</v>
      </c>
      <c r="X505" s="47" t="str">
        <f t="shared" si="2225"/>
        <v>n/a</v>
      </c>
      <c r="Y505" s="47" t="str">
        <f t="shared" si="2226"/>
        <v>n/a</v>
      </c>
      <c r="Z505" s="47" t="str">
        <f t="shared" si="2227"/>
        <v>n/a</v>
      </c>
      <c r="AA505" s="47" t="str">
        <f t="shared" si="2228"/>
        <v>n/a</v>
      </c>
      <c r="AB505" s="47" t="str">
        <f t="shared" si="2229"/>
        <v>n/a</v>
      </c>
      <c r="AC505" s="47" t="str">
        <f t="shared" si="2230"/>
        <v>n/a</v>
      </c>
      <c r="AD505" s="47" t="str">
        <f t="shared" si="2231"/>
        <v>n/a</v>
      </c>
      <c r="AE505" s="47" t="str">
        <f t="shared" si="2231"/>
        <v>n/a</v>
      </c>
      <c r="AF505" s="47" t="str">
        <f t="shared" si="2231"/>
        <v>n/a</v>
      </c>
      <c r="AG505" s="47" t="str">
        <f t="shared" si="2231"/>
        <v>n/a</v>
      </c>
      <c r="AH505" s="47" t="str">
        <f t="shared" si="2231"/>
        <v>n/a</v>
      </c>
      <c r="AO505" s="42"/>
      <c r="AP505" s="47" t="str">
        <f t="shared" ref="AP505:AV505" si="2234">IFERROR(AP500/AO500-1,"n/a")</f>
        <v>n/a</v>
      </c>
      <c r="AQ505" s="47">
        <f t="shared" si="2234"/>
        <v>0.95337146819206131</v>
      </c>
      <c r="AR505" s="47">
        <f t="shared" si="2234"/>
        <v>0.52639985801757017</v>
      </c>
      <c r="AS505" s="47">
        <f t="shared" si="2234"/>
        <v>0.22969594791000514</v>
      </c>
      <c r="AT505" s="47">
        <f t="shared" si="2234"/>
        <v>0.32847957639939507</v>
      </c>
      <c r="AU505" s="47" t="str">
        <f t="shared" si="2234"/>
        <v>n/a</v>
      </c>
      <c r="AV505" s="47" t="str">
        <f t="shared" si="2234"/>
        <v>n/a</v>
      </c>
    </row>
    <row r="506" spans="2:48" s="1" customFormat="1" x14ac:dyDescent="0.2">
      <c r="B506" s="30" t="s">
        <v>334</v>
      </c>
      <c r="H506" s="39"/>
      <c r="I506" s="39"/>
      <c r="J506" s="39"/>
      <c r="K506" s="42"/>
      <c r="L506" s="46">
        <f t="shared" si="2233"/>
        <v>1.8052340211373932</v>
      </c>
      <c r="M506" s="46">
        <f t="shared" si="2214"/>
        <v>1.7054559328500569</v>
      </c>
      <c r="N506" s="46">
        <f t="shared" si="2215"/>
        <v>1.4367749419953597</v>
      </c>
      <c r="O506" s="46">
        <f t="shared" si="2216"/>
        <v>1.1344359626802376</v>
      </c>
      <c r="P506" s="46">
        <f t="shared" si="2217"/>
        <v>1.0760674560459278</v>
      </c>
      <c r="Q506" s="46">
        <f t="shared" si="2218"/>
        <v>0.78916936962346629</v>
      </c>
      <c r="R506" s="46">
        <f t="shared" si="2219"/>
        <v>0.73482504165674811</v>
      </c>
      <c r="S506" s="46">
        <f t="shared" si="2220"/>
        <v>0.6566660043711503</v>
      </c>
      <c r="T506" s="46" t="str">
        <f t="shared" si="2221"/>
        <v>n/a</v>
      </c>
      <c r="U506" s="46" t="str">
        <f t="shared" si="2222"/>
        <v>n/a</v>
      </c>
      <c r="V506" s="46" t="str">
        <f t="shared" si="2223"/>
        <v>n/a</v>
      </c>
      <c r="W506" s="46">
        <f t="shared" si="2224"/>
        <v>0.46378028304149677</v>
      </c>
      <c r="X506" s="46" t="str">
        <f t="shared" si="2225"/>
        <v>n/a</v>
      </c>
      <c r="Y506" s="46" t="str">
        <f t="shared" si="2226"/>
        <v>n/a</v>
      </c>
      <c r="Z506" s="46" t="str">
        <f t="shared" si="2227"/>
        <v>n/a</v>
      </c>
      <c r="AA506" s="46" t="str">
        <f t="shared" si="2228"/>
        <v>n/a</v>
      </c>
      <c r="AB506" s="46" t="str">
        <f t="shared" si="2229"/>
        <v>n/a</v>
      </c>
      <c r="AC506" s="46" t="str">
        <f t="shared" si="2230"/>
        <v>n/a</v>
      </c>
      <c r="AD506" s="46" t="str">
        <f t="shared" si="2231"/>
        <v>n/a</v>
      </c>
      <c r="AE506" s="46" t="str">
        <f t="shared" si="2231"/>
        <v>n/a</v>
      </c>
      <c r="AF506" s="46" t="str">
        <f t="shared" si="2231"/>
        <v>n/a</v>
      </c>
      <c r="AG506" s="46" t="str">
        <f t="shared" si="2231"/>
        <v>n/a</v>
      </c>
      <c r="AH506" s="46" t="str">
        <f t="shared" si="2231"/>
        <v>n/a</v>
      </c>
      <c r="AO506" s="42"/>
      <c r="AP506" s="46" t="str">
        <f t="shared" ref="AP506:AV506" si="2235">IFERROR(AP501/AO501-1,"n/a")</f>
        <v>n/a</v>
      </c>
      <c r="AQ506" s="46">
        <f t="shared" si="2235"/>
        <v>2.3399433427762042</v>
      </c>
      <c r="AR506" s="46">
        <f t="shared" si="2235"/>
        <v>1.1344359626802376</v>
      </c>
      <c r="AS506" s="46">
        <f t="shared" si="2235"/>
        <v>0.6566660043711503</v>
      </c>
      <c r="AT506" s="46">
        <f t="shared" si="2235"/>
        <v>0.46378028304149677</v>
      </c>
      <c r="AU506" s="46" t="str">
        <f t="shared" si="2235"/>
        <v>n/a</v>
      </c>
      <c r="AV506" s="46" t="str">
        <f t="shared" si="2235"/>
        <v>n/a</v>
      </c>
    </row>
    <row r="507" spans="2:48" x14ac:dyDescent="0.2">
      <c r="B507" s="4"/>
      <c r="H507" s="11"/>
      <c r="I507" s="11"/>
      <c r="J507" s="11"/>
      <c r="K507" s="11"/>
      <c r="L507" s="11"/>
      <c r="M507" s="11"/>
      <c r="N507" s="11"/>
      <c r="O507" s="11"/>
      <c r="P507" s="11"/>
      <c r="Q507" s="11"/>
      <c r="R507" s="11"/>
      <c r="S507" s="11"/>
      <c r="T507" s="12"/>
      <c r="U507" s="12"/>
      <c r="V507" s="12"/>
      <c r="W507" s="12"/>
      <c r="X507" s="12"/>
      <c r="Y507" s="12"/>
      <c r="Z507" s="12"/>
      <c r="AA507" s="12"/>
      <c r="AB507" s="12"/>
      <c r="AC507" s="12"/>
      <c r="AD507" s="12"/>
      <c r="AE507" s="12"/>
      <c r="AF507" s="12"/>
      <c r="AG507" s="12"/>
      <c r="AH507" s="12"/>
      <c r="AO507" s="12"/>
      <c r="AP507" s="11"/>
      <c r="AQ507" s="11"/>
      <c r="AR507" s="11"/>
      <c r="AS507" s="11"/>
      <c r="AT507" s="11"/>
      <c r="AU507" s="12"/>
      <c r="AV507" s="12"/>
    </row>
    <row r="508" spans="2:48" x14ac:dyDescent="0.2">
      <c r="B508" s="24" t="s">
        <v>335</v>
      </c>
    </row>
    <row r="509" spans="2:48" x14ac:dyDescent="0.2">
      <c r="B509" t="s">
        <v>337</v>
      </c>
      <c r="H509" s="37">
        <f t="shared" ref="H509:AD509" si="2236">+IFERROR(H501-H510,"n/a")</f>
        <v>198.7</v>
      </c>
      <c r="I509" s="37">
        <f t="shared" si="2236"/>
        <v>262.10000000000002</v>
      </c>
      <c r="J509" s="37">
        <f t="shared" si="2236"/>
        <v>344.8</v>
      </c>
      <c r="K509" s="37">
        <f t="shared" si="2236"/>
        <v>471.6</v>
      </c>
      <c r="L509" s="37">
        <f t="shared" si="2236"/>
        <v>557.4</v>
      </c>
      <c r="M509" s="37">
        <f t="shared" si="2236"/>
        <v>709.1</v>
      </c>
      <c r="N509" s="37">
        <f t="shared" si="2236"/>
        <v>840.2</v>
      </c>
      <c r="O509" s="37">
        <f t="shared" si="2236"/>
        <v>1006.6</v>
      </c>
      <c r="P509" s="37">
        <f t="shared" si="2236"/>
        <v>1157.2</v>
      </c>
      <c r="Q509" s="37">
        <f t="shared" si="2236"/>
        <v>1268.7</v>
      </c>
      <c r="R509" s="37">
        <f t="shared" si="2236"/>
        <v>1457.2071779999999</v>
      </c>
      <c r="S509" s="37">
        <f t="shared" si="2236"/>
        <v>1661.8493289999999</v>
      </c>
      <c r="T509" s="37" t="str">
        <f t="shared" si="2236"/>
        <v>n/a</v>
      </c>
      <c r="U509" s="37" t="str">
        <f t="shared" si="2236"/>
        <v>n/a</v>
      </c>
      <c r="V509" s="37" t="str">
        <f t="shared" si="2236"/>
        <v>n/a</v>
      </c>
      <c r="W509" s="37">
        <f t="shared" si="2236"/>
        <v>2433.7539120000001</v>
      </c>
      <c r="X509" s="37" t="str">
        <f t="shared" si="2236"/>
        <v>n/a</v>
      </c>
      <c r="Y509" s="37" t="str">
        <f t="shared" si="2236"/>
        <v>n/a</v>
      </c>
      <c r="Z509" s="37" t="str">
        <f t="shared" si="2236"/>
        <v>n/a</v>
      </c>
      <c r="AA509" s="37" t="str">
        <f t="shared" si="2236"/>
        <v>n/a</v>
      </c>
      <c r="AB509" s="37" t="str">
        <f t="shared" si="2236"/>
        <v>n/a</v>
      </c>
      <c r="AC509" s="37" t="str">
        <f t="shared" si="2236"/>
        <v>n/a</v>
      </c>
      <c r="AD509" s="37" t="str">
        <f t="shared" si="2236"/>
        <v>n/a</v>
      </c>
      <c r="AE509" s="37" t="str">
        <f t="shared" ref="AE509:AG509" si="2237">+IFERROR(AE501-AE510,"n/a")</f>
        <v>n/a</v>
      </c>
      <c r="AF509" s="37" t="str">
        <f t="shared" si="2237"/>
        <v>n/a</v>
      </c>
      <c r="AG509" s="37" t="str">
        <f t="shared" si="2237"/>
        <v>n/a</v>
      </c>
      <c r="AH509" s="37" t="str">
        <f t="shared" ref="AH509" si="2238">+IFERROR(AH501-AH510,"n/a")</f>
        <v>n/a</v>
      </c>
      <c r="AO509" s="37" t="str">
        <f t="shared" ref="AO509:AU509" si="2239">+IFERROR(AO501-AO510,"n/a")</f>
        <v>n/a</v>
      </c>
      <c r="AP509" s="37">
        <f t="shared" si="2239"/>
        <v>141.19661499999998</v>
      </c>
      <c r="AQ509" s="37">
        <f t="shared" si="2239"/>
        <v>471.6</v>
      </c>
      <c r="AR509" s="37">
        <f t="shared" si="2239"/>
        <v>1006.6</v>
      </c>
      <c r="AS509" s="37">
        <f t="shared" si="2239"/>
        <v>1661.8493289999999</v>
      </c>
      <c r="AT509" s="37">
        <f t="shared" si="2239"/>
        <v>2433.7539120000001</v>
      </c>
      <c r="AU509" s="37" t="str">
        <f t="shared" si="2239"/>
        <v>n/a</v>
      </c>
      <c r="AV509" s="37" t="str">
        <f t="shared" ref="AV509" si="2240">+IFERROR(AV501-AV510,"n/a")</f>
        <v>n/a</v>
      </c>
    </row>
    <row r="510" spans="2:48" ht="13.5" x14ac:dyDescent="0.35">
      <c r="B510" t="s">
        <v>336</v>
      </c>
      <c r="H510" s="13">
        <v>0</v>
      </c>
      <c r="I510" s="35">
        <v>0</v>
      </c>
      <c r="J510" s="35">
        <v>0</v>
      </c>
      <c r="K510" s="35">
        <f>+IFERROR((K558+J558+I558+H558)/1000,"n/a")</f>
        <v>0</v>
      </c>
      <c r="L510" s="35">
        <f t="shared" ref="L510:AH510" si="2241">+IFERROR((L558+K558+J558+I558)/1000,"n/a")</f>
        <v>0</v>
      </c>
      <c r="M510" s="35">
        <f t="shared" si="2241"/>
        <v>0</v>
      </c>
      <c r="N510" s="35">
        <f t="shared" si="2241"/>
        <v>0</v>
      </c>
      <c r="O510" s="35">
        <f t="shared" si="2241"/>
        <v>0</v>
      </c>
      <c r="P510" s="35">
        <f t="shared" si="2241"/>
        <v>0</v>
      </c>
      <c r="Q510" s="35">
        <f t="shared" si="2241"/>
        <v>0</v>
      </c>
      <c r="R510" s="35">
        <f t="shared" si="2241"/>
        <v>0.392822</v>
      </c>
      <c r="S510" s="35">
        <f t="shared" si="2241"/>
        <v>5.7506710000000005</v>
      </c>
      <c r="T510" s="35">
        <f t="shared" si="2241"/>
        <v>10.874809000000001</v>
      </c>
      <c r="U510" s="35">
        <f t="shared" si="2241"/>
        <v>12.832972</v>
      </c>
      <c r="V510" s="35">
        <f t="shared" si="2241"/>
        <v>12.522264999999999</v>
      </c>
      <c r="W510" s="35">
        <f t="shared" si="2241"/>
        <v>7.2460880000000003</v>
      </c>
      <c r="X510" s="35">
        <f t="shared" si="2241"/>
        <v>2.1658070000000005</v>
      </c>
      <c r="Y510" s="35">
        <f t="shared" si="2241"/>
        <v>0.25835400000000047</v>
      </c>
      <c r="Z510" s="35">
        <f t="shared" si="2241"/>
        <v>0.23264600000000046</v>
      </c>
      <c r="AA510" s="35">
        <f t="shared" si="2241"/>
        <v>0.209171</v>
      </c>
      <c r="AB510" s="35">
        <f t="shared" si="2241"/>
        <v>0.16531399999999999</v>
      </c>
      <c r="AC510" s="35">
        <f t="shared" si="2241"/>
        <v>0.114604</v>
      </c>
      <c r="AD510" s="35">
        <f t="shared" si="2241"/>
        <v>5.8197000000000006E-2</v>
      </c>
      <c r="AE510" s="35">
        <f t="shared" si="2241"/>
        <v>0</v>
      </c>
      <c r="AF510" s="35">
        <f t="shared" si="2241"/>
        <v>0</v>
      </c>
      <c r="AG510" s="35">
        <f t="shared" si="2241"/>
        <v>0</v>
      </c>
      <c r="AH510" s="35">
        <f t="shared" si="2241"/>
        <v>0</v>
      </c>
      <c r="AI510" s="16"/>
      <c r="AJ510" s="16"/>
      <c r="AK510" s="16"/>
      <c r="AL510" s="16"/>
      <c r="AM510" s="16"/>
      <c r="AN510" s="16"/>
      <c r="AO510" s="35">
        <f t="shared" ref="AO510:AU510" si="2242">+AO558/1000</f>
        <v>0.45658800000000005</v>
      </c>
      <c r="AP510" s="35">
        <f t="shared" si="2242"/>
        <v>3.385E-3</v>
      </c>
      <c r="AQ510" s="35">
        <f t="shared" si="2242"/>
        <v>0</v>
      </c>
      <c r="AR510" s="35">
        <f t="shared" si="2242"/>
        <v>0</v>
      </c>
      <c r="AS510" s="35">
        <f t="shared" si="2242"/>
        <v>5.7506710000000005</v>
      </c>
      <c r="AT510" s="35">
        <f t="shared" si="2242"/>
        <v>7.2460879999999994</v>
      </c>
      <c r="AU510" s="35">
        <f t="shared" si="2242"/>
        <v>0.209171</v>
      </c>
      <c r="AV510" s="35">
        <f t="shared" ref="AV510" si="2243">+AV558/1000</f>
        <v>0</v>
      </c>
    </row>
    <row r="511" spans="2:48" s="1" customFormat="1" x14ac:dyDescent="0.2">
      <c r="B511" s="38" t="s">
        <v>334</v>
      </c>
      <c r="H511" s="41">
        <f t="shared" ref="H511:AD511" si="2244">+H501</f>
        <v>198.7</v>
      </c>
      <c r="I511" s="41">
        <f t="shared" si="2244"/>
        <v>262.10000000000002</v>
      </c>
      <c r="J511" s="41">
        <f t="shared" si="2244"/>
        <v>344.8</v>
      </c>
      <c r="K511" s="41">
        <f t="shared" si="2244"/>
        <v>471.6</v>
      </c>
      <c r="L511" s="41">
        <f t="shared" si="2244"/>
        <v>557.4</v>
      </c>
      <c r="M511" s="41">
        <f t="shared" si="2244"/>
        <v>709.1</v>
      </c>
      <c r="N511" s="41">
        <f t="shared" si="2244"/>
        <v>840.2</v>
      </c>
      <c r="O511" s="41">
        <f t="shared" si="2244"/>
        <v>1006.6</v>
      </c>
      <c r="P511" s="41">
        <f t="shared" si="2244"/>
        <v>1157.2</v>
      </c>
      <c r="Q511" s="41">
        <f t="shared" si="2244"/>
        <v>1268.7</v>
      </c>
      <c r="R511" s="41">
        <f t="shared" si="2244"/>
        <v>1457.6</v>
      </c>
      <c r="S511" s="41">
        <f t="shared" si="2244"/>
        <v>1667.6</v>
      </c>
      <c r="T511" s="41" t="str">
        <f t="shared" si="2244"/>
        <v>n/a</v>
      </c>
      <c r="U511" s="41" t="str">
        <f t="shared" si="2244"/>
        <v>n/a</v>
      </c>
      <c r="V511" s="41" t="str">
        <f t="shared" si="2244"/>
        <v>n/a</v>
      </c>
      <c r="W511" s="41">
        <f t="shared" si="2244"/>
        <v>2441</v>
      </c>
      <c r="X511" s="41" t="str">
        <f t="shared" si="2244"/>
        <v>n/a</v>
      </c>
      <c r="Y511" s="41" t="str">
        <f t="shared" si="2244"/>
        <v>n/a</v>
      </c>
      <c r="Z511" s="41" t="str">
        <f t="shared" si="2244"/>
        <v>n/a</v>
      </c>
      <c r="AA511" s="41" t="str">
        <f t="shared" si="2244"/>
        <v>n/a</v>
      </c>
      <c r="AB511" s="41" t="str">
        <f t="shared" si="2244"/>
        <v>n/a</v>
      </c>
      <c r="AC511" s="41" t="str">
        <f t="shared" si="2244"/>
        <v>n/a</v>
      </c>
      <c r="AD511" s="41" t="str">
        <f t="shared" si="2244"/>
        <v>n/a</v>
      </c>
      <c r="AE511" s="41" t="str">
        <f t="shared" ref="AE511:AG511" si="2245">+AE501</f>
        <v>n/a</v>
      </c>
      <c r="AF511" s="41" t="str">
        <f t="shared" si="2245"/>
        <v>n/a</v>
      </c>
      <c r="AG511" s="41" t="str">
        <f t="shared" si="2245"/>
        <v>n/a</v>
      </c>
      <c r="AH511" s="41" t="str">
        <f t="shared" ref="AH511" si="2246">+AH501</f>
        <v>n/a</v>
      </c>
      <c r="AO511" s="41" t="str">
        <f t="shared" ref="AO511:AU511" si="2247">+AO501</f>
        <v>n/a</v>
      </c>
      <c r="AP511" s="41">
        <f t="shared" si="2247"/>
        <v>141.19999999999999</v>
      </c>
      <c r="AQ511" s="41">
        <f t="shared" si="2247"/>
        <v>471.6</v>
      </c>
      <c r="AR511" s="41">
        <f t="shared" si="2247"/>
        <v>1006.6</v>
      </c>
      <c r="AS511" s="41">
        <f t="shared" si="2247"/>
        <v>1667.6</v>
      </c>
      <c r="AT511" s="41">
        <f t="shared" si="2247"/>
        <v>2441</v>
      </c>
      <c r="AU511" s="41" t="str">
        <f t="shared" si="2247"/>
        <v>n/a</v>
      </c>
      <c r="AV511" s="41" t="str">
        <f t="shared" ref="AV511" si="2248">+AV501</f>
        <v>n/a</v>
      </c>
    </row>
    <row r="512" spans="2:48" s="1" customFormat="1" x14ac:dyDescent="0.2">
      <c r="B512" s="38"/>
      <c r="H512" s="39"/>
      <c r="I512" s="39"/>
      <c r="J512" s="39"/>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O512" s="42"/>
      <c r="AP512" s="42"/>
      <c r="AQ512" s="42"/>
      <c r="AR512" s="42"/>
      <c r="AS512" s="42"/>
      <c r="AT512" s="42"/>
      <c r="AU512" s="42"/>
      <c r="AV512" s="42"/>
    </row>
    <row r="513" spans="2:48" s="1" customFormat="1" x14ac:dyDescent="0.2">
      <c r="B513" s="19" t="s">
        <v>85</v>
      </c>
      <c r="H513" s="39"/>
      <c r="I513" s="39"/>
      <c r="J513" s="39"/>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O513" s="42"/>
      <c r="AP513" s="42"/>
      <c r="AQ513" s="42"/>
      <c r="AR513" s="42"/>
      <c r="AS513" s="42"/>
      <c r="AT513" s="42"/>
      <c r="AU513" s="42"/>
      <c r="AV513" s="42"/>
    </row>
    <row r="514" spans="2:48" s="1" customFormat="1" x14ac:dyDescent="0.2">
      <c r="B514" s="20" t="s">
        <v>107</v>
      </c>
      <c r="H514" s="39"/>
      <c r="I514" s="39"/>
      <c r="J514" s="39"/>
      <c r="K514" s="42"/>
      <c r="L514" s="46">
        <f t="shared" ref="L514:U516" si="2249">IFERROR(L509/H509-1,"n/a")</f>
        <v>1.8052340211373932</v>
      </c>
      <c r="M514" s="46">
        <f t="shared" si="2249"/>
        <v>1.7054559328500569</v>
      </c>
      <c r="N514" s="46">
        <f t="shared" si="2249"/>
        <v>1.4367749419953597</v>
      </c>
      <c r="O514" s="46">
        <f t="shared" si="2249"/>
        <v>1.1344359626802376</v>
      </c>
      <c r="P514" s="46">
        <f t="shared" si="2249"/>
        <v>1.0760674560459278</v>
      </c>
      <c r="Q514" s="46">
        <f t="shared" si="2249"/>
        <v>0.78916936962346629</v>
      </c>
      <c r="R514" s="46">
        <f t="shared" si="2249"/>
        <v>0.73435750773625297</v>
      </c>
      <c r="S514" s="46">
        <f t="shared" si="2249"/>
        <v>0.65095303894297629</v>
      </c>
      <c r="T514" s="46" t="str">
        <f t="shared" si="2249"/>
        <v>n/a</v>
      </c>
      <c r="U514" s="46" t="str">
        <f t="shared" si="2249"/>
        <v>n/a</v>
      </c>
      <c r="V514" s="46" t="str">
        <f t="shared" ref="V514:AH516" si="2250">IFERROR(V509/R509-1,"n/a")</f>
        <v>n/a</v>
      </c>
      <c r="W514" s="46">
        <f t="shared" si="2250"/>
        <v>0.46448529931680715</v>
      </c>
      <c r="X514" s="46" t="str">
        <f t="shared" si="2250"/>
        <v>n/a</v>
      </c>
      <c r="Y514" s="46" t="str">
        <f t="shared" si="2250"/>
        <v>n/a</v>
      </c>
      <c r="Z514" s="46" t="str">
        <f t="shared" si="2250"/>
        <v>n/a</v>
      </c>
      <c r="AA514" s="46" t="str">
        <f t="shared" si="2250"/>
        <v>n/a</v>
      </c>
      <c r="AB514" s="46" t="str">
        <f t="shared" si="2250"/>
        <v>n/a</v>
      </c>
      <c r="AC514" s="46" t="str">
        <f t="shared" si="2250"/>
        <v>n/a</v>
      </c>
      <c r="AD514" s="46" t="str">
        <f t="shared" si="2250"/>
        <v>n/a</v>
      </c>
      <c r="AE514" s="46" t="str">
        <f t="shared" si="2250"/>
        <v>n/a</v>
      </c>
      <c r="AF514" s="46" t="str">
        <f t="shared" si="2250"/>
        <v>n/a</v>
      </c>
      <c r="AG514" s="46" t="str">
        <f t="shared" si="2250"/>
        <v>n/a</v>
      </c>
      <c r="AH514" s="46" t="str">
        <f t="shared" si="2250"/>
        <v>n/a</v>
      </c>
      <c r="AO514" s="42"/>
      <c r="AP514" s="46" t="str">
        <f t="shared" ref="AP514:AV516" si="2251">IFERROR(AP509/AO509-1,"n/a")</f>
        <v>n/a</v>
      </c>
      <c r="AQ514" s="46">
        <f t="shared" si="2251"/>
        <v>2.3400234134508118</v>
      </c>
      <c r="AR514" s="46">
        <f t="shared" si="2251"/>
        <v>1.1344359626802376</v>
      </c>
      <c r="AS514" s="46">
        <f t="shared" si="2251"/>
        <v>0.65095303894297629</v>
      </c>
      <c r="AT514" s="46">
        <f t="shared" si="2251"/>
        <v>0.46448529931680715</v>
      </c>
      <c r="AU514" s="46" t="str">
        <f t="shared" si="2251"/>
        <v>n/a</v>
      </c>
      <c r="AV514" s="46" t="str">
        <f t="shared" si="2251"/>
        <v>n/a</v>
      </c>
    </row>
    <row r="515" spans="2:48" s="1" customFormat="1" ht="13.5" x14ac:dyDescent="0.35">
      <c r="B515" s="20" t="s">
        <v>106</v>
      </c>
      <c r="H515" s="39"/>
      <c r="I515" s="39"/>
      <c r="J515" s="39"/>
      <c r="K515" s="42"/>
      <c r="L515" s="47" t="str">
        <f t="shared" si="2249"/>
        <v>n/a</v>
      </c>
      <c r="M515" s="47" t="str">
        <f t="shared" si="2249"/>
        <v>n/a</v>
      </c>
      <c r="N515" s="47" t="str">
        <f t="shared" si="2249"/>
        <v>n/a</v>
      </c>
      <c r="O515" s="47" t="str">
        <f t="shared" si="2249"/>
        <v>n/a</v>
      </c>
      <c r="P515" s="47" t="str">
        <f t="shared" si="2249"/>
        <v>n/a</v>
      </c>
      <c r="Q515" s="47" t="str">
        <f t="shared" si="2249"/>
        <v>n/a</v>
      </c>
      <c r="R515" s="47" t="str">
        <f t="shared" si="2249"/>
        <v>n/a</v>
      </c>
      <c r="S515" s="47" t="str">
        <f t="shared" si="2249"/>
        <v>n/a</v>
      </c>
      <c r="T515" s="47" t="str">
        <f t="shared" si="2249"/>
        <v>n/a</v>
      </c>
      <c r="U515" s="47" t="str">
        <f t="shared" si="2249"/>
        <v>n/a</v>
      </c>
      <c r="V515" s="47">
        <f t="shared" si="2250"/>
        <v>30.877707969512908</v>
      </c>
      <c r="W515" s="47">
        <f t="shared" si="2250"/>
        <v>0.26004217594781531</v>
      </c>
      <c r="X515" s="47">
        <f t="shared" si="2250"/>
        <v>-0.80084183547499543</v>
      </c>
      <c r="Y515" s="47">
        <f t="shared" si="2250"/>
        <v>-0.97986795264573157</v>
      </c>
      <c r="Z515" s="47">
        <f t="shared" si="2250"/>
        <v>-0.98142141218062384</v>
      </c>
      <c r="AA515" s="47">
        <f t="shared" si="2250"/>
        <v>-0.97113325148687124</v>
      </c>
      <c r="AB515" s="47">
        <f t="shared" si="2250"/>
        <v>-0.92367094574909037</v>
      </c>
      <c r="AC515" s="47">
        <f t="shared" si="2250"/>
        <v>-0.5564071003351998</v>
      </c>
      <c r="AD515" s="47">
        <f t="shared" si="2250"/>
        <v>-0.74984740764939051</v>
      </c>
      <c r="AE515" s="47">
        <f t="shared" si="2250"/>
        <v>-1</v>
      </c>
      <c r="AF515" s="47">
        <f t="shared" si="2250"/>
        <v>-1</v>
      </c>
      <c r="AG515" s="47">
        <f t="shared" si="2250"/>
        <v>-1</v>
      </c>
      <c r="AH515" s="47">
        <f t="shared" si="2250"/>
        <v>-1</v>
      </c>
      <c r="AI515" s="51"/>
      <c r="AJ515" s="51"/>
      <c r="AK515" s="51"/>
      <c r="AL515" s="51"/>
      <c r="AM515" s="51"/>
      <c r="AN515" s="51"/>
      <c r="AO515" s="52"/>
      <c r="AP515" s="47">
        <f t="shared" si="2251"/>
        <v>-0.99258631413878595</v>
      </c>
      <c r="AQ515" s="47">
        <f t="shared" si="2251"/>
        <v>-1</v>
      </c>
      <c r="AR515" s="47" t="str">
        <f t="shared" si="2251"/>
        <v>n/a</v>
      </c>
      <c r="AS515" s="47" t="str">
        <f t="shared" si="2251"/>
        <v>n/a</v>
      </c>
      <c r="AT515" s="47">
        <f t="shared" si="2251"/>
        <v>0.26004217594781531</v>
      </c>
      <c r="AU515" s="47">
        <f t="shared" si="2251"/>
        <v>-0.97113325148687124</v>
      </c>
      <c r="AV515" s="47">
        <f t="shared" si="2251"/>
        <v>-1</v>
      </c>
    </row>
    <row r="516" spans="2:48" s="1" customFormat="1" x14ac:dyDescent="0.2">
      <c r="B516" s="30" t="s">
        <v>109</v>
      </c>
      <c r="H516" s="39"/>
      <c r="I516" s="39"/>
      <c r="J516" s="39"/>
      <c r="K516" s="42"/>
      <c r="L516" s="46">
        <f t="shared" si="2249"/>
        <v>1.8052340211373932</v>
      </c>
      <c r="M516" s="46">
        <f t="shared" si="2249"/>
        <v>1.7054559328500569</v>
      </c>
      <c r="N516" s="46">
        <f t="shared" si="2249"/>
        <v>1.4367749419953597</v>
      </c>
      <c r="O516" s="46">
        <f t="shared" si="2249"/>
        <v>1.1344359626802376</v>
      </c>
      <c r="P516" s="46">
        <f t="shared" si="2249"/>
        <v>1.0760674560459278</v>
      </c>
      <c r="Q516" s="46">
        <f t="shared" si="2249"/>
        <v>0.78916936962346629</v>
      </c>
      <c r="R516" s="46">
        <f t="shared" si="2249"/>
        <v>0.73482504165674811</v>
      </c>
      <c r="S516" s="46">
        <f t="shared" si="2249"/>
        <v>0.6566660043711503</v>
      </c>
      <c r="T516" s="46" t="str">
        <f t="shared" si="2249"/>
        <v>n/a</v>
      </c>
      <c r="U516" s="46" t="str">
        <f t="shared" si="2249"/>
        <v>n/a</v>
      </c>
      <c r="V516" s="46" t="str">
        <f t="shared" si="2250"/>
        <v>n/a</v>
      </c>
      <c r="W516" s="46">
        <f t="shared" si="2250"/>
        <v>0.46378028304149677</v>
      </c>
      <c r="X516" s="46" t="str">
        <f t="shared" si="2250"/>
        <v>n/a</v>
      </c>
      <c r="Y516" s="46" t="str">
        <f t="shared" si="2250"/>
        <v>n/a</v>
      </c>
      <c r="Z516" s="46" t="str">
        <f t="shared" si="2250"/>
        <v>n/a</v>
      </c>
      <c r="AA516" s="46" t="str">
        <f t="shared" si="2250"/>
        <v>n/a</v>
      </c>
      <c r="AB516" s="46" t="str">
        <f t="shared" si="2250"/>
        <v>n/a</v>
      </c>
      <c r="AC516" s="46" t="str">
        <f t="shared" si="2250"/>
        <v>n/a</v>
      </c>
      <c r="AD516" s="46" t="str">
        <f t="shared" si="2250"/>
        <v>n/a</v>
      </c>
      <c r="AE516" s="46" t="str">
        <f t="shared" si="2250"/>
        <v>n/a</v>
      </c>
      <c r="AF516" s="46" t="str">
        <f t="shared" si="2250"/>
        <v>n/a</v>
      </c>
      <c r="AG516" s="46" t="str">
        <f t="shared" si="2250"/>
        <v>n/a</v>
      </c>
      <c r="AH516" s="46" t="str">
        <f t="shared" si="2250"/>
        <v>n/a</v>
      </c>
      <c r="AO516" s="42"/>
      <c r="AP516" s="46" t="str">
        <f t="shared" si="2251"/>
        <v>n/a</v>
      </c>
      <c r="AQ516" s="46">
        <f t="shared" si="2251"/>
        <v>2.3399433427762042</v>
      </c>
      <c r="AR516" s="46">
        <f t="shared" si="2251"/>
        <v>1.1344359626802376</v>
      </c>
      <c r="AS516" s="46">
        <f t="shared" si="2251"/>
        <v>0.6566660043711503</v>
      </c>
      <c r="AT516" s="46">
        <f t="shared" si="2251"/>
        <v>0.46378028304149677</v>
      </c>
      <c r="AU516" s="46" t="str">
        <f t="shared" si="2251"/>
        <v>n/a</v>
      </c>
      <c r="AV516" s="46" t="str">
        <f t="shared" si="2251"/>
        <v>n/a</v>
      </c>
    </row>
    <row r="517" spans="2:48" x14ac:dyDescent="0.2">
      <c r="B517" s="4"/>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c r="AE517" s="37"/>
      <c r="AF517" s="37"/>
      <c r="AG517" s="37"/>
      <c r="AH517" s="37"/>
      <c r="AO517" s="37"/>
      <c r="AP517" s="37"/>
      <c r="AQ517" s="37"/>
      <c r="AR517" s="37"/>
      <c r="AS517" s="37"/>
      <c r="AT517" s="37"/>
      <c r="AU517" s="37"/>
      <c r="AV517" s="37"/>
    </row>
    <row r="518" spans="2:48" x14ac:dyDescent="0.2">
      <c r="B518" s="24" t="s">
        <v>114</v>
      </c>
    </row>
    <row r="519" spans="2:48" x14ac:dyDescent="0.2">
      <c r="B519" t="s">
        <v>238</v>
      </c>
      <c r="H519" s="11">
        <v>2317.375</v>
      </c>
      <c r="I519" s="11">
        <v>4656.1869999999999</v>
      </c>
      <c r="J519" s="11">
        <v>7340.7820000000011</v>
      </c>
      <c r="K519" s="10">
        <f>+IFERROR((K556+J556+I556+H556),"n/a")</f>
        <v>11515.574999999999</v>
      </c>
      <c r="L519" s="10">
        <f t="shared" ref="L519:AH519" si="2252">+IFERROR((L556+K556+J556+I556),"n/a")</f>
        <v>14355.888999999999</v>
      </c>
      <c r="M519" s="10">
        <f t="shared" si="2252"/>
        <v>18452.010000000002</v>
      </c>
      <c r="N519" s="10">
        <f t="shared" si="2252"/>
        <v>22189.32</v>
      </c>
      <c r="O519" s="10">
        <f t="shared" si="2252"/>
        <v>26813.641000000003</v>
      </c>
      <c r="P519" s="10">
        <f t="shared" si="2252"/>
        <v>28357.496999999999</v>
      </c>
      <c r="Q519" s="10">
        <f t="shared" si="2252"/>
        <v>32945.122000000003</v>
      </c>
      <c r="R519" s="10">
        <f t="shared" si="2252"/>
        <v>38718.502999999997</v>
      </c>
      <c r="S519" s="10">
        <f t="shared" si="2252"/>
        <v>47953.778999999995</v>
      </c>
      <c r="T519" s="10">
        <f t="shared" si="2252"/>
        <v>56572.994999999995</v>
      </c>
      <c r="U519" s="10">
        <f t="shared" si="2252"/>
        <v>63598.716</v>
      </c>
      <c r="V519" s="10">
        <f t="shared" si="2252"/>
        <v>69060.375999999989</v>
      </c>
      <c r="W519" s="10">
        <f t="shared" si="2252"/>
        <v>72563.402000000002</v>
      </c>
      <c r="X519" s="10">
        <f t="shared" si="2252"/>
        <v>76610.341000000015</v>
      </c>
      <c r="Y519" s="10">
        <f t="shared" si="2252"/>
        <v>83702.573000000004</v>
      </c>
      <c r="Z519" s="10">
        <f t="shared" si="2252"/>
        <v>94181.722000000009</v>
      </c>
      <c r="AA519" s="10">
        <f t="shared" si="2252"/>
        <v>102721.924</v>
      </c>
      <c r="AB519" s="10">
        <f t="shared" si="2252"/>
        <v>111807.92499999999</v>
      </c>
      <c r="AC519" s="10">
        <f t="shared" si="2252"/>
        <v>124568.105</v>
      </c>
      <c r="AD519" s="10">
        <f t="shared" si="2252"/>
        <v>135830.13799999998</v>
      </c>
      <c r="AE519" s="10">
        <f t="shared" si="2252"/>
        <v>153540.55300000001</v>
      </c>
      <c r="AF519" s="10">
        <f t="shared" si="2252"/>
        <v>168752.37</v>
      </c>
      <c r="AG519" s="10">
        <f t="shared" si="2252"/>
        <v>179935.40500000003</v>
      </c>
      <c r="AH519" s="10">
        <f t="shared" si="2252"/>
        <v>189598.74900000001</v>
      </c>
      <c r="AO519" s="10">
        <f>+AO556</f>
        <v>0</v>
      </c>
      <c r="AP519" s="10">
        <f t="shared" ref="AP519:AU519" si="2253">+AP556</f>
        <v>1209.2750000000001</v>
      </c>
      <c r="AQ519" s="10">
        <f t="shared" si="2253"/>
        <v>11515.575000000001</v>
      </c>
      <c r="AR519" s="10">
        <f t="shared" si="2253"/>
        <v>26813.641</v>
      </c>
      <c r="AS519" s="10">
        <f t="shared" si="2253"/>
        <v>47953.779000000002</v>
      </c>
      <c r="AT519" s="10">
        <f t="shared" si="2253"/>
        <v>72563.402000000002</v>
      </c>
      <c r="AU519" s="10">
        <f t="shared" si="2253"/>
        <v>102721.924</v>
      </c>
      <c r="AV519" s="10">
        <f t="shared" ref="AV519" si="2254">+AV556</f>
        <v>153540.55300000001</v>
      </c>
    </row>
    <row r="520" spans="2:48" ht="13.5" x14ac:dyDescent="0.35">
      <c r="B520" t="s">
        <v>239</v>
      </c>
      <c r="H520" s="25">
        <f t="shared" ref="H520:J520" si="2255">+IFERROR(H521-H519,"n/a")</f>
        <v>774.28600000000006</v>
      </c>
      <c r="I520" s="25">
        <f t="shared" si="2255"/>
        <v>1039.9030000000002</v>
      </c>
      <c r="J520" s="25">
        <f t="shared" si="2255"/>
        <v>1304.6879999999983</v>
      </c>
      <c r="K520" s="25">
        <f>+IFERROR(K521-K519,"n/a")</f>
        <v>1604.4150000000009</v>
      </c>
      <c r="L520" s="25">
        <f t="shared" ref="L520:AD520" si="2256">+IFERROR(L521-L519,"n/a")</f>
        <v>1924.7010000000009</v>
      </c>
      <c r="M520" s="25">
        <f t="shared" si="2256"/>
        <v>2409.5419999999976</v>
      </c>
      <c r="N520" s="25">
        <f t="shared" si="2256"/>
        <v>2813.7619999999988</v>
      </c>
      <c r="O520" s="25">
        <f t="shared" si="2256"/>
        <v>3328.2449999999953</v>
      </c>
      <c r="P520" s="25">
        <f t="shared" si="2256"/>
        <v>3780.2440000000024</v>
      </c>
      <c r="Q520" s="25">
        <f t="shared" si="2256"/>
        <v>4095.9259999999922</v>
      </c>
      <c r="R520" s="25">
        <f t="shared" si="2256"/>
        <v>4625.557000000008</v>
      </c>
      <c r="S520" s="25">
        <f t="shared" si="2256"/>
        <v>5787.4150000000081</v>
      </c>
      <c r="T520" s="25">
        <f t="shared" si="2256"/>
        <v>7670.1010000000024</v>
      </c>
      <c r="U520" s="25">
        <f t="shared" si="2256"/>
        <v>9539.122000000003</v>
      </c>
      <c r="V520" s="25">
        <f t="shared" si="2256"/>
        <v>11684.145000000019</v>
      </c>
      <c r="W520" s="25">
        <f t="shared" si="2256"/>
        <v>14140.449000000008</v>
      </c>
      <c r="X520" s="25">
        <f t="shared" si="2256"/>
        <v>16800.380999999994</v>
      </c>
      <c r="Y520" s="25">
        <f t="shared" si="2256"/>
        <v>20008.949999999997</v>
      </c>
      <c r="Z520" s="25">
        <f t="shared" si="2256"/>
        <v>23554.055000000008</v>
      </c>
      <c r="AA520" s="25">
        <f t="shared" si="2256"/>
        <v>27626.493999999992</v>
      </c>
      <c r="AB520" s="25">
        <f t="shared" si="2256"/>
        <v>32427.710999999981</v>
      </c>
      <c r="AC520" s="25">
        <f t="shared" si="2256"/>
        <v>40559.421000000017</v>
      </c>
      <c r="AD520" s="25">
        <f t="shared" si="2256"/>
        <v>62689.862000000023</v>
      </c>
      <c r="AE520" s="25">
        <f t="shared" ref="AE520:AG520" si="2257">+IFERROR(AE521-AE519,"n/a")</f>
        <v>94098.652000000002</v>
      </c>
      <c r="AF520" s="25">
        <f t="shared" si="2257"/>
        <v>128061.84400000004</v>
      </c>
      <c r="AG520" s="25">
        <f t="shared" si="2257"/>
        <v>161657.592</v>
      </c>
      <c r="AH520" s="25">
        <f t="shared" ref="AH520" si="2258">+IFERROR(AH521-AH519,"n/a")</f>
        <v>182508.27799999999</v>
      </c>
      <c r="AO520" s="25">
        <f>+AO557</f>
        <v>48.276000000000003</v>
      </c>
      <c r="AP520" s="25">
        <f t="shared" ref="AP520:AU520" si="2259">+AP557</f>
        <v>531.41600000000005</v>
      </c>
      <c r="AQ520" s="25">
        <f t="shared" si="2259"/>
        <v>1604.415</v>
      </c>
      <c r="AR520" s="25">
        <f t="shared" si="2259"/>
        <v>3328.2449999999999</v>
      </c>
      <c r="AS520" s="25">
        <f t="shared" si="2259"/>
        <v>5787.415</v>
      </c>
      <c r="AT520" s="25">
        <f t="shared" si="2259"/>
        <v>14140.449000000001</v>
      </c>
      <c r="AU520" s="25">
        <f t="shared" si="2259"/>
        <v>27626.493999999999</v>
      </c>
      <c r="AV520" s="25">
        <f t="shared" ref="AV520" si="2260">+AV557</f>
        <v>94098.652000000002</v>
      </c>
    </row>
    <row r="521" spans="2:48" x14ac:dyDescent="0.2">
      <c r="B521" s="4" t="s">
        <v>112</v>
      </c>
      <c r="H521" s="10">
        <f t="shared" ref="H521:AD521" si="2261">+IFERROR(H523-H522,"n/a")</f>
        <v>3091.6610000000001</v>
      </c>
      <c r="I521" s="10">
        <f t="shared" si="2261"/>
        <v>5696.09</v>
      </c>
      <c r="J521" s="10">
        <f t="shared" si="2261"/>
        <v>8645.4699999999993</v>
      </c>
      <c r="K521" s="10">
        <f t="shared" si="2261"/>
        <v>13119.99</v>
      </c>
      <c r="L521" s="10">
        <f t="shared" si="2261"/>
        <v>16280.59</v>
      </c>
      <c r="M521" s="10">
        <f t="shared" si="2261"/>
        <v>20861.552</v>
      </c>
      <c r="N521" s="10">
        <f t="shared" si="2261"/>
        <v>25003.081999999999</v>
      </c>
      <c r="O521" s="10">
        <f t="shared" si="2261"/>
        <v>30141.885999999999</v>
      </c>
      <c r="P521" s="10">
        <f t="shared" si="2261"/>
        <v>32137.741000000002</v>
      </c>
      <c r="Q521" s="10">
        <f t="shared" si="2261"/>
        <v>37041.047999999995</v>
      </c>
      <c r="R521" s="10">
        <f t="shared" si="2261"/>
        <v>43344.060000000005</v>
      </c>
      <c r="S521" s="10">
        <f t="shared" si="2261"/>
        <v>53741.194000000003</v>
      </c>
      <c r="T521" s="10">
        <f t="shared" si="2261"/>
        <v>64243.095999999998</v>
      </c>
      <c r="U521" s="10">
        <f t="shared" si="2261"/>
        <v>73137.838000000003</v>
      </c>
      <c r="V521" s="10">
        <f t="shared" si="2261"/>
        <v>80744.521000000008</v>
      </c>
      <c r="W521" s="10">
        <f t="shared" si="2261"/>
        <v>86703.85100000001</v>
      </c>
      <c r="X521" s="10">
        <f t="shared" si="2261"/>
        <v>93410.722000000009</v>
      </c>
      <c r="Y521" s="10">
        <f t="shared" si="2261"/>
        <v>103711.523</v>
      </c>
      <c r="Z521" s="10">
        <f t="shared" si="2261"/>
        <v>117735.77700000002</v>
      </c>
      <c r="AA521" s="10">
        <f t="shared" si="2261"/>
        <v>130348.41799999999</v>
      </c>
      <c r="AB521" s="10">
        <f t="shared" si="2261"/>
        <v>144235.63599999997</v>
      </c>
      <c r="AC521" s="10">
        <f t="shared" si="2261"/>
        <v>165127.52600000001</v>
      </c>
      <c r="AD521" s="10">
        <f t="shared" si="2261"/>
        <v>198520</v>
      </c>
      <c r="AE521" s="10">
        <f t="shared" ref="AE521:AG521" si="2262">+IFERROR(AE523-AE522,"n/a")</f>
        <v>247639.20500000002</v>
      </c>
      <c r="AF521" s="10">
        <f t="shared" si="2262"/>
        <v>296814.21400000004</v>
      </c>
      <c r="AG521" s="10">
        <f t="shared" si="2262"/>
        <v>341592.99700000003</v>
      </c>
      <c r="AH521" s="10">
        <f t="shared" ref="AH521" si="2263">+IFERROR(AH523-AH522,"n/a")</f>
        <v>372107.027</v>
      </c>
      <c r="AO521" s="10">
        <f t="shared" ref="AO521:AU521" si="2264">+IFERROR(AO523-AO522,"n/a")</f>
        <v>48.27600000000001</v>
      </c>
      <c r="AP521" s="10">
        <f t="shared" si="2264"/>
        <v>1740.6910000000003</v>
      </c>
      <c r="AQ521" s="10">
        <f t="shared" si="2264"/>
        <v>13119.990000000002</v>
      </c>
      <c r="AR521" s="10">
        <f t="shared" si="2264"/>
        <v>30141.885999999999</v>
      </c>
      <c r="AS521" s="10">
        <f t="shared" si="2264"/>
        <v>53741.194000000003</v>
      </c>
      <c r="AT521" s="10">
        <f t="shared" si="2264"/>
        <v>86703.850999999995</v>
      </c>
      <c r="AU521" s="10">
        <f t="shared" si="2264"/>
        <v>130348.41800000001</v>
      </c>
      <c r="AV521" s="10">
        <f t="shared" ref="AV521" si="2265">+IFERROR(AV523-AV522,"n/a")</f>
        <v>247639.20499999999</v>
      </c>
    </row>
    <row r="522" spans="2:48" ht="13.5" x14ac:dyDescent="0.35">
      <c r="B522" t="s">
        <v>111</v>
      </c>
      <c r="H522" s="25">
        <f t="shared" ref="H522:AD522" si="2266">+IFERROR(H510*1000,"n/a")</f>
        <v>0</v>
      </c>
      <c r="I522" s="25">
        <f t="shared" si="2266"/>
        <v>0</v>
      </c>
      <c r="J522" s="25">
        <f t="shared" si="2266"/>
        <v>0</v>
      </c>
      <c r="K522" s="25">
        <f t="shared" si="2266"/>
        <v>0</v>
      </c>
      <c r="L522" s="25">
        <f t="shared" si="2266"/>
        <v>0</v>
      </c>
      <c r="M522" s="25">
        <f t="shared" si="2266"/>
        <v>0</v>
      </c>
      <c r="N522" s="25">
        <f t="shared" si="2266"/>
        <v>0</v>
      </c>
      <c r="O522" s="25">
        <f t="shared" si="2266"/>
        <v>0</v>
      </c>
      <c r="P522" s="25">
        <f t="shared" si="2266"/>
        <v>0</v>
      </c>
      <c r="Q522" s="25">
        <f t="shared" si="2266"/>
        <v>0</v>
      </c>
      <c r="R522" s="25">
        <f t="shared" si="2266"/>
        <v>392.822</v>
      </c>
      <c r="S522" s="25">
        <f t="shared" si="2266"/>
        <v>5750.6710000000003</v>
      </c>
      <c r="T522" s="25">
        <f t="shared" si="2266"/>
        <v>10874.809000000001</v>
      </c>
      <c r="U522" s="25">
        <f t="shared" si="2266"/>
        <v>12832.972</v>
      </c>
      <c r="V522" s="25">
        <f t="shared" si="2266"/>
        <v>12522.264999999999</v>
      </c>
      <c r="W522" s="25">
        <f t="shared" si="2266"/>
        <v>7246.0880000000006</v>
      </c>
      <c r="X522" s="25">
        <f t="shared" si="2266"/>
        <v>2165.8070000000007</v>
      </c>
      <c r="Y522" s="25">
        <f t="shared" si="2266"/>
        <v>258.3540000000005</v>
      </c>
      <c r="Z522" s="25">
        <f t="shared" si="2266"/>
        <v>232.64600000000047</v>
      </c>
      <c r="AA522" s="25">
        <f t="shared" si="2266"/>
        <v>209.17099999999999</v>
      </c>
      <c r="AB522" s="25">
        <f t="shared" si="2266"/>
        <v>165.31399999999999</v>
      </c>
      <c r="AC522" s="25">
        <f t="shared" si="2266"/>
        <v>114.604</v>
      </c>
      <c r="AD522" s="25">
        <f t="shared" si="2266"/>
        <v>58.197000000000003</v>
      </c>
      <c r="AE522" s="25">
        <f t="shared" ref="AE522:AG522" si="2267">+IFERROR(AE510*1000,"n/a")</f>
        <v>0</v>
      </c>
      <c r="AF522" s="25">
        <f t="shared" si="2267"/>
        <v>0</v>
      </c>
      <c r="AG522" s="25">
        <f t="shared" si="2267"/>
        <v>0</v>
      </c>
      <c r="AH522" s="25">
        <f t="shared" ref="AH522" si="2268">+IFERROR(AH510*1000,"n/a")</f>
        <v>0</v>
      </c>
      <c r="AI522" s="16"/>
      <c r="AJ522" s="16"/>
      <c r="AK522" s="16"/>
      <c r="AL522" s="16"/>
      <c r="AM522" s="16"/>
      <c r="AN522" s="16"/>
      <c r="AO522" s="25">
        <f t="shared" ref="AO522:AU522" si="2269">+IFERROR(AO510*1000,"n/a")</f>
        <v>456.58800000000002</v>
      </c>
      <c r="AP522" s="25">
        <f t="shared" si="2269"/>
        <v>3.3849999999999998</v>
      </c>
      <c r="AQ522" s="25">
        <f t="shared" si="2269"/>
        <v>0</v>
      </c>
      <c r="AR522" s="25">
        <f t="shared" si="2269"/>
        <v>0</v>
      </c>
      <c r="AS522" s="25">
        <f t="shared" si="2269"/>
        <v>5750.6710000000003</v>
      </c>
      <c r="AT522" s="25">
        <f t="shared" si="2269"/>
        <v>7246.0879999999997</v>
      </c>
      <c r="AU522" s="25">
        <f t="shared" si="2269"/>
        <v>209.17099999999999</v>
      </c>
      <c r="AV522" s="25">
        <f t="shared" ref="AV522" si="2270">+IFERROR(AV510*1000,"n/a")</f>
        <v>0</v>
      </c>
    </row>
    <row r="523" spans="2:48" s="1" customFormat="1" x14ac:dyDescent="0.2">
      <c r="B523" s="38" t="s">
        <v>113</v>
      </c>
      <c r="H523" s="39">
        <v>3091.6610000000001</v>
      </c>
      <c r="I523" s="39">
        <v>5696.09</v>
      </c>
      <c r="J523" s="39">
        <v>8645.4699999999993</v>
      </c>
      <c r="K523" s="42">
        <f>+IFERROR((K559+J559+I559+H559),"n/a")</f>
        <v>13119.99</v>
      </c>
      <c r="L523" s="42">
        <f t="shared" ref="L523:AH523" si="2271">+IFERROR((L559+K559+J559+I559),"n/a")</f>
        <v>16280.59</v>
      </c>
      <c r="M523" s="42">
        <f t="shared" si="2271"/>
        <v>20861.552</v>
      </c>
      <c r="N523" s="42">
        <f t="shared" si="2271"/>
        <v>25003.081999999999</v>
      </c>
      <c r="O523" s="42">
        <f t="shared" si="2271"/>
        <v>30141.885999999999</v>
      </c>
      <c r="P523" s="42">
        <f t="shared" si="2271"/>
        <v>32137.741000000002</v>
      </c>
      <c r="Q523" s="42">
        <f t="shared" si="2271"/>
        <v>37041.047999999995</v>
      </c>
      <c r="R523" s="42">
        <f t="shared" si="2271"/>
        <v>43736.882000000005</v>
      </c>
      <c r="S523" s="42">
        <f t="shared" si="2271"/>
        <v>59491.865000000005</v>
      </c>
      <c r="T523" s="42">
        <f t="shared" si="2271"/>
        <v>75117.904999999999</v>
      </c>
      <c r="U523" s="42">
        <f t="shared" si="2271"/>
        <v>85970.81</v>
      </c>
      <c r="V523" s="42">
        <f t="shared" si="2271"/>
        <v>93266.786000000007</v>
      </c>
      <c r="W523" s="42">
        <f t="shared" si="2271"/>
        <v>93949.939000000013</v>
      </c>
      <c r="X523" s="42">
        <f t="shared" si="2271"/>
        <v>95576.52900000001</v>
      </c>
      <c r="Y523" s="42">
        <f t="shared" si="2271"/>
        <v>103969.87700000001</v>
      </c>
      <c r="Z523" s="42">
        <f t="shared" si="2271"/>
        <v>117968.42300000001</v>
      </c>
      <c r="AA523" s="42">
        <f t="shared" si="2271"/>
        <v>130557.58899999999</v>
      </c>
      <c r="AB523" s="42">
        <f t="shared" si="2271"/>
        <v>144400.94999999998</v>
      </c>
      <c r="AC523" s="42">
        <f t="shared" si="2271"/>
        <v>165242.13</v>
      </c>
      <c r="AD523" s="42">
        <f t="shared" si="2271"/>
        <v>198578.19699999999</v>
      </c>
      <c r="AE523" s="42">
        <f t="shared" si="2271"/>
        <v>247639.20500000002</v>
      </c>
      <c r="AF523" s="42">
        <f t="shared" si="2271"/>
        <v>296814.21400000004</v>
      </c>
      <c r="AG523" s="42">
        <f t="shared" si="2271"/>
        <v>341592.99700000003</v>
      </c>
      <c r="AH523" s="42">
        <f t="shared" si="2271"/>
        <v>372107.027</v>
      </c>
      <c r="AO523" s="42">
        <f>+AO559</f>
        <v>504.86400000000003</v>
      </c>
      <c r="AP523" s="42">
        <f t="shared" ref="AP523:AU523" si="2272">+AP559</f>
        <v>1744.0760000000002</v>
      </c>
      <c r="AQ523" s="42">
        <f t="shared" si="2272"/>
        <v>13119.990000000002</v>
      </c>
      <c r="AR523" s="42">
        <f t="shared" si="2272"/>
        <v>30141.885999999999</v>
      </c>
      <c r="AS523" s="42">
        <f t="shared" si="2272"/>
        <v>59491.865000000005</v>
      </c>
      <c r="AT523" s="42">
        <f t="shared" si="2272"/>
        <v>93949.938999999998</v>
      </c>
      <c r="AU523" s="42">
        <f t="shared" si="2272"/>
        <v>130557.58900000001</v>
      </c>
      <c r="AV523" s="42">
        <f t="shared" ref="AV523" si="2273">+AV559</f>
        <v>247639.20499999999</v>
      </c>
    </row>
    <row r="524" spans="2:48" s="1" customFormat="1" x14ac:dyDescent="0.2">
      <c r="B524" s="38"/>
      <c r="H524" s="39"/>
      <c r="I524" s="39"/>
      <c r="J524" s="39"/>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O524" s="42"/>
      <c r="AP524" s="42"/>
      <c r="AQ524" s="42"/>
      <c r="AR524" s="42"/>
      <c r="AS524" s="42"/>
      <c r="AT524" s="42"/>
      <c r="AU524" s="42"/>
      <c r="AV524" s="42"/>
    </row>
    <row r="525" spans="2:48" s="1" customFormat="1" x14ac:dyDescent="0.2">
      <c r="B525" s="19" t="s">
        <v>85</v>
      </c>
      <c r="H525" s="39"/>
      <c r="I525" s="39"/>
      <c r="J525" s="39"/>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O525" s="42"/>
      <c r="AP525" s="42"/>
      <c r="AQ525" s="42"/>
      <c r="AR525" s="42"/>
      <c r="AS525" s="42"/>
      <c r="AT525" s="42"/>
      <c r="AU525" s="42"/>
      <c r="AV525" s="42"/>
    </row>
    <row r="526" spans="2:48" s="1" customFormat="1" x14ac:dyDescent="0.2">
      <c r="B526" s="20" t="s">
        <v>238</v>
      </c>
      <c r="H526" s="39"/>
      <c r="I526" s="39"/>
      <c r="J526" s="39"/>
      <c r="K526" s="42"/>
      <c r="L526" s="46">
        <f t="shared" ref="L526:U530" si="2274">IFERROR(L519/H519-1,"n/a")</f>
        <v>5.1948924968984302</v>
      </c>
      <c r="M526" s="46">
        <f t="shared" si="2274"/>
        <v>2.9629014040887967</v>
      </c>
      <c r="N526" s="46">
        <f t="shared" si="2274"/>
        <v>2.0227460780064028</v>
      </c>
      <c r="O526" s="46">
        <f t="shared" si="2274"/>
        <v>1.3284674017580542</v>
      </c>
      <c r="P526" s="46">
        <f t="shared" si="2274"/>
        <v>0.97532155619202698</v>
      </c>
      <c r="Q526" s="46">
        <f t="shared" si="2274"/>
        <v>0.78544895650934499</v>
      </c>
      <c r="R526" s="46">
        <f t="shared" si="2274"/>
        <v>0.74491615786333232</v>
      </c>
      <c r="S526" s="46">
        <f t="shared" si="2274"/>
        <v>0.78840982468587506</v>
      </c>
      <c r="T526" s="46">
        <f t="shared" si="2274"/>
        <v>0.99499254112589686</v>
      </c>
      <c r="U526" s="46">
        <f t="shared" si="2274"/>
        <v>0.93044408820219249</v>
      </c>
      <c r="V526" s="46">
        <f t="shared" ref="V526:AH530" si="2275">IFERROR(V519/R519-1,"n/a")</f>
        <v>0.78365305084238401</v>
      </c>
      <c r="W526" s="46">
        <f t="shared" si="2275"/>
        <v>0.51319465354336335</v>
      </c>
      <c r="X526" s="46">
        <f t="shared" si="2275"/>
        <v>0.35418570291355489</v>
      </c>
      <c r="Y526" s="46">
        <f t="shared" si="2275"/>
        <v>0.31610476224079753</v>
      </c>
      <c r="Z526" s="46">
        <f t="shared" si="2275"/>
        <v>0.36375918370325744</v>
      </c>
      <c r="AA526" s="46">
        <f t="shared" si="2275"/>
        <v>0.41561615316768075</v>
      </c>
      <c r="AB526" s="46">
        <f t="shared" si="2275"/>
        <v>0.45943646171735431</v>
      </c>
      <c r="AC526" s="46">
        <f t="shared" si="2275"/>
        <v>0.48822312786011945</v>
      </c>
      <c r="AD526" s="46">
        <f t="shared" si="2275"/>
        <v>0.44221336280090484</v>
      </c>
      <c r="AE526" s="46">
        <f t="shared" si="2275"/>
        <v>0.49472037731692042</v>
      </c>
      <c r="AF526" s="46">
        <f t="shared" si="2275"/>
        <v>0.50930598166453778</v>
      </c>
      <c r="AG526" s="46">
        <f t="shared" si="2275"/>
        <v>0.44447412923235885</v>
      </c>
      <c r="AH526" s="46">
        <f t="shared" si="2275"/>
        <v>0.39585184695903086</v>
      </c>
      <c r="AO526" s="42"/>
      <c r="AP526" s="42"/>
      <c r="AQ526" s="42"/>
      <c r="AR526" s="42"/>
      <c r="AS526" s="42"/>
      <c r="AT526" s="42"/>
      <c r="AU526" s="42"/>
      <c r="AV526" s="42"/>
    </row>
    <row r="527" spans="2:48" s="1" customFormat="1" ht="13.5" x14ac:dyDescent="0.35">
      <c r="B527" s="20" t="s">
        <v>239</v>
      </c>
      <c r="H527" s="39"/>
      <c r="I527" s="39"/>
      <c r="J527" s="39"/>
      <c r="K527" s="42"/>
      <c r="L527" s="47">
        <f t="shared" si="2274"/>
        <v>1.4857752820017418</v>
      </c>
      <c r="M527" s="47">
        <f t="shared" si="2274"/>
        <v>1.3170834202805426</v>
      </c>
      <c r="N527" s="47">
        <f t="shared" si="2274"/>
        <v>1.1566550776890741</v>
      </c>
      <c r="O527" s="47">
        <f t="shared" si="2274"/>
        <v>1.0744289974850605</v>
      </c>
      <c r="P527" s="47">
        <f t="shared" si="2274"/>
        <v>0.96406818513628911</v>
      </c>
      <c r="Q527" s="47">
        <f t="shared" si="2274"/>
        <v>0.69987740408758015</v>
      </c>
      <c r="R527" s="47">
        <f t="shared" si="2274"/>
        <v>0.64390485051685609</v>
      </c>
      <c r="S527" s="47">
        <f t="shared" si="2274"/>
        <v>0.73887889863877687</v>
      </c>
      <c r="T527" s="47">
        <f t="shared" si="2274"/>
        <v>1.0289962764308327</v>
      </c>
      <c r="U527" s="47">
        <f t="shared" si="2274"/>
        <v>1.3289292824137986</v>
      </c>
      <c r="V527" s="47">
        <f t="shared" si="2275"/>
        <v>1.5259974096092641</v>
      </c>
      <c r="W527" s="47">
        <f t="shared" si="2275"/>
        <v>1.443310009736642</v>
      </c>
      <c r="X527" s="47">
        <f t="shared" si="2275"/>
        <v>1.1903728516743115</v>
      </c>
      <c r="Y527" s="47">
        <f t="shared" si="2275"/>
        <v>1.0975672603830824</v>
      </c>
      <c r="Z527" s="47">
        <f t="shared" si="2275"/>
        <v>1.0158988954690282</v>
      </c>
      <c r="AA527" s="47">
        <f t="shared" si="2275"/>
        <v>0.95372113007161063</v>
      </c>
      <c r="AB527" s="47">
        <f t="shared" si="2275"/>
        <v>0.93017711919747481</v>
      </c>
      <c r="AC527" s="47">
        <f t="shared" si="2275"/>
        <v>1.0270639388873493</v>
      </c>
      <c r="AD527" s="47">
        <f t="shared" si="2275"/>
        <v>1.6615316131341293</v>
      </c>
      <c r="AE527" s="47">
        <f t="shared" si="2275"/>
        <v>2.4061018383295409</v>
      </c>
      <c r="AF527" s="47">
        <f t="shared" si="2275"/>
        <v>2.9491484304889766</v>
      </c>
      <c r="AG527" s="47">
        <f t="shared" si="2275"/>
        <v>2.9856977248269874</v>
      </c>
      <c r="AH527" s="47">
        <f t="shared" si="2275"/>
        <v>1.9112885589060626</v>
      </c>
      <c r="AO527" s="42"/>
      <c r="AP527" s="42"/>
      <c r="AQ527" s="42"/>
      <c r="AR527" s="42"/>
      <c r="AS527" s="42"/>
      <c r="AT527" s="42"/>
      <c r="AU527" s="42"/>
      <c r="AV527" s="42"/>
    </row>
    <row r="528" spans="2:48" s="1" customFormat="1" x14ac:dyDescent="0.2">
      <c r="B528" s="30" t="s">
        <v>112</v>
      </c>
      <c r="H528" s="39"/>
      <c r="I528" s="39"/>
      <c r="J528" s="39"/>
      <c r="K528" s="42"/>
      <c r="L528" s="46">
        <f t="shared" si="2274"/>
        <v>4.2659686815598477</v>
      </c>
      <c r="M528" s="46">
        <f t="shared" si="2274"/>
        <v>2.6624337045236293</v>
      </c>
      <c r="N528" s="46">
        <f t="shared" si="2274"/>
        <v>1.8920442728966731</v>
      </c>
      <c r="O528" s="46">
        <f t="shared" si="2274"/>
        <v>1.2974015986292673</v>
      </c>
      <c r="P528" s="46">
        <f t="shared" si="2274"/>
        <v>0.9739911759954647</v>
      </c>
      <c r="Q528" s="46">
        <f t="shared" si="2274"/>
        <v>0.77556530789272027</v>
      </c>
      <c r="R528" s="46">
        <f t="shared" si="2274"/>
        <v>0.73354868811772911</v>
      </c>
      <c r="S528" s="46">
        <f t="shared" si="2274"/>
        <v>0.78294065606909946</v>
      </c>
      <c r="T528" s="46">
        <f t="shared" si="2274"/>
        <v>0.99899227515711186</v>
      </c>
      <c r="U528" s="46">
        <f t="shared" si="2274"/>
        <v>0.97450779470386517</v>
      </c>
      <c r="V528" s="46">
        <f t="shared" si="2275"/>
        <v>0.86287396704415786</v>
      </c>
      <c r="W528" s="46">
        <f t="shared" si="2275"/>
        <v>0.61335922309429902</v>
      </c>
      <c r="X528" s="46">
        <f t="shared" si="2275"/>
        <v>0.45401961947786584</v>
      </c>
      <c r="Y528" s="46">
        <f t="shared" si="2275"/>
        <v>0.41802828516752166</v>
      </c>
      <c r="Z528" s="46">
        <f t="shared" si="2275"/>
        <v>0.45812713409991002</v>
      </c>
      <c r="AA528" s="46">
        <f t="shared" si="2275"/>
        <v>0.50337518456936792</v>
      </c>
      <c r="AB528" s="46">
        <f t="shared" si="2275"/>
        <v>0.54410150046800787</v>
      </c>
      <c r="AC528" s="46">
        <f t="shared" si="2275"/>
        <v>0.59218109254841433</v>
      </c>
      <c r="AD528" s="46">
        <f t="shared" si="2275"/>
        <v>0.68614846785272388</v>
      </c>
      <c r="AE528" s="46">
        <f t="shared" si="2275"/>
        <v>0.89982516703808435</v>
      </c>
      <c r="AF528" s="46">
        <f t="shared" si="2275"/>
        <v>1.0578424460928648</v>
      </c>
      <c r="AG528" s="46">
        <f t="shared" si="2275"/>
        <v>1.0686617505551439</v>
      </c>
      <c r="AH528" s="46">
        <f t="shared" si="2275"/>
        <v>0.8744057374571832</v>
      </c>
      <c r="AO528" s="42"/>
      <c r="AP528" s="46">
        <f t="shared" ref="AP528:AV530" si="2276">IFERROR(AP521/AO521-1,"n/a")</f>
        <v>35.057067694092304</v>
      </c>
      <c r="AQ528" s="46">
        <f t="shared" si="2276"/>
        <v>6.5372309042788181</v>
      </c>
      <c r="AR528" s="46">
        <f t="shared" si="2276"/>
        <v>1.2974015986292669</v>
      </c>
      <c r="AS528" s="46">
        <f t="shared" si="2276"/>
        <v>0.78294065606909946</v>
      </c>
      <c r="AT528" s="46">
        <f t="shared" si="2276"/>
        <v>0.6133592230942988</v>
      </c>
      <c r="AU528" s="46">
        <f t="shared" si="2276"/>
        <v>0.50337518456936836</v>
      </c>
      <c r="AV528" s="46">
        <f t="shared" si="2276"/>
        <v>0.89982516703808391</v>
      </c>
    </row>
    <row r="529" spans="2:48" s="1" customFormat="1" ht="13.5" x14ac:dyDescent="0.35">
      <c r="B529" s="20" t="s">
        <v>111</v>
      </c>
      <c r="H529" s="39"/>
      <c r="I529" s="39"/>
      <c r="J529" s="39"/>
      <c r="K529" s="42"/>
      <c r="L529" s="47" t="str">
        <f t="shared" si="2274"/>
        <v>n/a</v>
      </c>
      <c r="M529" s="47" t="str">
        <f t="shared" si="2274"/>
        <v>n/a</v>
      </c>
      <c r="N529" s="47" t="str">
        <f t="shared" si="2274"/>
        <v>n/a</v>
      </c>
      <c r="O529" s="47" t="str">
        <f t="shared" si="2274"/>
        <v>n/a</v>
      </c>
      <c r="P529" s="47" t="str">
        <f t="shared" si="2274"/>
        <v>n/a</v>
      </c>
      <c r="Q529" s="47" t="str">
        <f t="shared" si="2274"/>
        <v>n/a</v>
      </c>
      <c r="R529" s="47" t="str">
        <f t="shared" si="2274"/>
        <v>n/a</v>
      </c>
      <c r="S529" s="47" t="str">
        <f t="shared" si="2274"/>
        <v>n/a</v>
      </c>
      <c r="T529" s="47" t="str">
        <f t="shared" si="2274"/>
        <v>n/a</v>
      </c>
      <c r="U529" s="47" t="str">
        <f t="shared" si="2274"/>
        <v>n/a</v>
      </c>
      <c r="V529" s="47">
        <f t="shared" si="2275"/>
        <v>30.877707969512908</v>
      </c>
      <c r="W529" s="47">
        <f t="shared" si="2275"/>
        <v>0.26004217594781553</v>
      </c>
      <c r="X529" s="47">
        <f t="shared" si="2275"/>
        <v>-0.80084183547499543</v>
      </c>
      <c r="Y529" s="47">
        <f t="shared" si="2275"/>
        <v>-0.97986795264573157</v>
      </c>
      <c r="Z529" s="47">
        <f t="shared" si="2275"/>
        <v>-0.98142141218062384</v>
      </c>
      <c r="AA529" s="47">
        <f t="shared" si="2275"/>
        <v>-0.97113325148687124</v>
      </c>
      <c r="AB529" s="47">
        <f t="shared" si="2275"/>
        <v>-0.92367094574909037</v>
      </c>
      <c r="AC529" s="47">
        <f t="shared" si="2275"/>
        <v>-0.5564071003351998</v>
      </c>
      <c r="AD529" s="47">
        <f t="shared" si="2275"/>
        <v>-0.74984740764939062</v>
      </c>
      <c r="AE529" s="47">
        <f t="shared" si="2275"/>
        <v>-1</v>
      </c>
      <c r="AF529" s="47">
        <f t="shared" si="2275"/>
        <v>-1</v>
      </c>
      <c r="AG529" s="47">
        <f t="shared" si="2275"/>
        <v>-1</v>
      </c>
      <c r="AH529" s="47">
        <f t="shared" si="2275"/>
        <v>-1</v>
      </c>
      <c r="AO529" s="42"/>
      <c r="AP529" s="47">
        <f t="shared" si="2276"/>
        <v>-0.99258631413878595</v>
      </c>
      <c r="AQ529" s="47">
        <f t="shared" si="2276"/>
        <v>-1</v>
      </c>
      <c r="AR529" s="47" t="str">
        <f t="shared" si="2276"/>
        <v>n/a</v>
      </c>
      <c r="AS529" s="47" t="str">
        <f t="shared" si="2276"/>
        <v>n/a</v>
      </c>
      <c r="AT529" s="47">
        <f t="shared" si="2276"/>
        <v>0.26004217594781531</v>
      </c>
      <c r="AU529" s="47">
        <f t="shared" si="2276"/>
        <v>-0.97113325148687124</v>
      </c>
      <c r="AV529" s="47">
        <f t="shared" si="2276"/>
        <v>-1</v>
      </c>
    </row>
    <row r="530" spans="2:48" s="1" customFormat="1" x14ac:dyDescent="0.2">
      <c r="B530" s="30" t="s">
        <v>113</v>
      </c>
      <c r="H530" s="39"/>
      <c r="I530" s="39"/>
      <c r="J530" s="39"/>
      <c r="K530" s="42"/>
      <c r="L530" s="46">
        <f t="shared" si="2274"/>
        <v>4.2659686815598477</v>
      </c>
      <c r="M530" s="46">
        <f t="shared" si="2274"/>
        <v>2.6624337045236293</v>
      </c>
      <c r="N530" s="46">
        <f t="shared" si="2274"/>
        <v>1.8920442728966731</v>
      </c>
      <c r="O530" s="46">
        <f t="shared" si="2274"/>
        <v>1.2974015986292673</v>
      </c>
      <c r="P530" s="46">
        <f t="shared" si="2274"/>
        <v>0.9739911759954647</v>
      </c>
      <c r="Q530" s="46">
        <f t="shared" si="2274"/>
        <v>0.77556530789272027</v>
      </c>
      <c r="R530" s="46">
        <f t="shared" si="2274"/>
        <v>0.74925963127265693</v>
      </c>
      <c r="S530" s="46">
        <f t="shared" si="2274"/>
        <v>0.97372735733921911</v>
      </c>
      <c r="T530" s="46">
        <f t="shared" si="2274"/>
        <v>1.3373735260359463</v>
      </c>
      <c r="U530" s="46">
        <f t="shared" si="2274"/>
        <v>1.3209605192596063</v>
      </c>
      <c r="V530" s="46">
        <f t="shared" si="2275"/>
        <v>1.1324516457300269</v>
      </c>
      <c r="W530" s="46">
        <f t="shared" si="2275"/>
        <v>0.57920648478577719</v>
      </c>
      <c r="X530" s="46">
        <f t="shared" si="2275"/>
        <v>0.27235349548153676</v>
      </c>
      <c r="Y530" s="46">
        <f t="shared" si="2275"/>
        <v>0.20936253828479701</v>
      </c>
      <c r="Z530" s="46">
        <f t="shared" si="2275"/>
        <v>0.26484923582549524</v>
      </c>
      <c r="AA530" s="46">
        <f t="shared" si="2275"/>
        <v>0.38965059892162324</v>
      </c>
      <c r="AB530" s="46">
        <f t="shared" si="2275"/>
        <v>0.51084111874370297</v>
      </c>
      <c r="AC530" s="46">
        <f t="shared" si="2275"/>
        <v>0.58932697400421086</v>
      </c>
      <c r="AD530" s="46">
        <f t="shared" si="2275"/>
        <v>0.68331653462893183</v>
      </c>
      <c r="AE530" s="46">
        <f t="shared" si="2275"/>
        <v>0.8967813889394054</v>
      </c>
      <c r="AF530" s="46">
        <f t="shared" si="2275"/>
        <v>1.055486574014922</v>
      </c>
      <c r="AG530" s="46">
        <f t="shared" si="2275"/>
        <v>1.0672270261827297</v>
      </c>
      <c r="AH530" s="46">
        <f t="shared" si="2275"/>
        <v>0.87385640831455436</v>
      </c>
      <c r="AO530" s="42"/>
      <c r="AP530" s="46">
        <f t="shared" si="2276"/>
        <v>2.4545461748114348</v>
      </c>
      <c r="AQ530" s="46">
        <f t="shared" si="2276"/>
        <v>6.5226022260497825</v>
      </c>
      <c r="AR530" s="46">
        <f t="shared" si="2276"/>
        <v>1.2974015986292669</v>
      </c>
      <c r="AS530" s="46">
        <f t="shared" si="2276"/>
        <v>0.97372735733921911</v>
      </c>
      <c r="AT530" s="46">
        <f t="shared" si="2276"/>
        <v>0.57920648478577674</v>
      </c>
      <c r="AU530" s="46">
        <f t="shared" si="2276"/>
        <v>0.38965059892162368</v>
      </c>
      <c r="AV530" s="46">
        <f t="shared" si="2276"/>
        <v>0.89678138893940496</v>
      </c>
    </row>
    <row r="531" spans="2:48" x14ac:dyDescent="0.2">
      <c r="B531" s="4"/>
    </row>
    <row r="532" spans="2:48" x14ac:dyDescent="0.2">
      <c r="B532" s="19" t="s">
        <v>115</v>
      </c>
    </row>
    <row r="533" spans="2:48" x14ac:dyDescent="0.2">
      <c r="B533" s="20" t="s">
        <v>238</v>
      </c>
      <c r="H533" s="44">
        <f>IFERROR(H519/(H$509*1000),"n/a")</f>
        <v>1.1662682435832914E-2</v>
      </c>
      <c r="I533" s="44">
        <f t="shared" ref="I533:AD535" si="2277">IFERROR(I519/(I$509*1000),"n/a")</f>
        <v>1.7764925600915679E-2</v>
      </c>
      <c r="J533" s="44">
        <f t="shared" si="2277"/>
        <v>2.1289970997679819E-2</v>
      </c>
      <c r="K533" s="44">
        <f t="shared" si="2277"/>
        <v>2.4418097964376589E-2</v>
      </c>
      <c r="L533" s="44">
        <f t="shared" si="2277"/>
        <v>2.5755093290276282E-2</v>
      </c>
      <c r="M533" s="44">
        <f t="shared" si="2277"/>
        <v>2.6021731772669584E-2</v>
      </c>
      <c r="N533" s="44">
        <f t="shared" si="2277"/>
        <v>2.6409569150202334E-2</v>
      </c>
      <c r="O533" s="44">
        <f t="shared" si="2277"/>
        <v>2.663783131333201E-2</v>
      </c>
      <c r="P533" s="44">
        <f t="shared" si="2277"/>
        <v>2.4505268752160386E-2</v>
      </c>
      <c r="Q533" s="44">
        <f t="shared" si="2277"/>
        <v>2.5967621975250259E-2</v>
      </c>
      <c r="R533" s="44">
        <f t="shared" si="2277"/>
        <v>2.6570348804581582E-2</v>
      </c>
      <c r="S533" s="44">
        <f t="shared" si="2277"/>
        <v>2.8855671909110838E-2</v>
      </c>
      <c r="T533" s="44" t="str">
        <f t="shared" si="2277"/>
        <v>n/a</v>
      </c>
      <c r="U533" s="44" t="str">
        <f t="shared" si="2277"/>
        <v>n/a</v>
      </c>
      <c r="V533" s="44" t="str">
        <f t="shared" si="2277"/>
        <v>n/a</v>
      </c>
      <c r="W533" s="44">
        <f t="shared" si="2277"/>
        <v>2.9815422850360887E-2</v>
      </c>
      <c r="X533" s="44" t="str">
        <f t="shared" si="2277"/>
        <v>n/a</v>
      </c>
      <c r="Y533" s="44" t="str">
        <f t="shared" si="2277"/>
        <v>n/a</v>
      </c>
      <c r="Z533" s="44" t="str">
        <f t="shared" si="2277"/>
        <v>n/a</v>
      </c>
      <c r="AA533" s="44" t="str">
        <f t="shared" si="2277"/>
        <v>n/a</v>
      </c>
      <c r="AB533" s="44" t="str">
        <f t="shared" si="2277"/>
        <v>n/a</v>
      </c>
      <c r="AC533" s="44" t="str">
        <f t="shared" si="2277"/>
        <v>n/a</v>
      </c>
      <c r="AD533" s="44" t="str">
        <f t="shared" si="2277"/>
        <v>n/a</v>
      </c>
      <c r="AE533" s="44" t="str">
        <f t="shared" ref="AE533:AG533" si="2278">IFERROR(AE519/(AE$509*1000),"n/a")</f>
        <v>n/a</v>
      </c>
      <c r="AF533" s="44" t="str">
        <f t="shared" si="2278"/>
        <v>n/a</v>
      </c>
      <c r="AG533" s="44" t="str">
        <f t="shared" si="2278"/>
        <v>n/a</v>
      </c>
      <c r="AH533" s="44" t="str">
        <f t="shared" ref="AH533" si="2279">IFERROR(AH519/(AH$509*1000),"n/a")</f>
        <v>n/a</v>
      </c>
      <c r="AO533" s="44" t="str">
        <f>IFERROR(AO519/(AO$509*1000),"n/a")</f>
        <v>n/a</v>
      </c>
      <c r="AP533" s="44">
        <f t="shared" ref="AP533:AU535" si="2280">IFERROR(AP519/(AP$509*1000),"n/a")</f>
        <v>8.5644758551754237E-3</v>
      </c>
      <c r="AQ533" s="44">
        <f t="shared" si="2280"/>
        <v>2.4418097964376592E-2</v>
      </c>
      <c r="AR533" s="44">
        <f t="shared" si="2280"/>
        <v>2.6637831313332007E-2</v>
      </c>
      <c r="AS533" s="44">
        <f t="shared" si="2280"/>
        <v>2.8855671909110845E-2</v>
      </c>
      <c r="AT533" s="44">
        <f t="shared" si="2280"/>
        <v>2.9815422850360887E-2</v>
      </c>
      <c r="AU533" s="44" t="str">
        <f t="shared" si="2280"/>
        <v>n/a</v>
      </c>
      <c r="AV533" s="44" t="str">
        <f t="shared" ref="AV533" si="2281">IFERROR(AV519/(AV$509*1000),"n/a")</f>
        <v>n/a</v>
      </c>
    </row>
    <row r="534" spans="2:48" ht="13.5" x14ac:dyDescent="0.35">
      <c r="B534" s="20" t="s">
        <v>239</v>
      </c>
      <c r="H534" s="45">
        <f>IFERROR(H520/(H$509*1000),"n/a")</f>
        <v>3.8967589330649224E-3</v>
      </c>
      <c r="I534" s="45">
        <f t="shared" si="2277"/>
        <v>3.9675810759252196E-3</v>
      </c>
      <c r="J534" s="45">
        <f t="shared" si="2277"/>
        <v>3.7838979118329417E-3</v>
      </c>
      <c r="K534" s="45">
        <f t="shared" si="2277"/>
        <v>3.402067430025447E-3</v>
      </c>
      <c r="L534" s="45">
        <f t="shared" si="2277"/>
        <v>3.4529978471474721E-3</v>
      </c>
      <c r="M534" s="45">
        <f t="shared" si="2277"/>
        <v>3.3980284868142681E-3</v>
      </c>
      <c r="N534" s="45">
        <f t="shared" si="2277"/>
        <v>3.3489193049273968E-3</v>
      </c>
      <c r="O534" s="45">
        <f t="shared" si="2277"/>
        <v>3.3064226107689205E-3</v>
      </c>
      <c r="P534" s="45">
        <f t="shared" si="2277"/>
        <v>3.2667162115451111E-3</v>
      </c>
      <c r="Q534" s="45">
        <f t="shared" si="2277"/>
        <v>3.2284432884054481E-3</v>
      </c>
      <c r="R534" s="45">
        <f t="shared" si="2277"/>
        <v>3.1742617452300312E-3</v>
      </c>
      <c r="S534" s="45">
        <f t="shared" si="2277"/>
        <v>3.4825148700348926E-3</v>
      </c>
      <c r="T534" s="45" t="str">
        <f t="shared" si="2277"/>
        <v>n/a</v>
      </c>
      <c r="U534" s="45" t="str">
        <f t="shared" si="2277"/>
        <v>n/a</v>
      </c>
      <c r="V534" s="45" t="str">
        <f t="shared" si="2277"/>
        <v>n/a</v>
      </c>
      <c r="W534" s="45">
        <f t="shared" si="2277"/>
        <v>5.8101391970150872E-3</v>
      </c>
      <c r="X534" s="45" t="str">
        <f t="shared" si="2277"/>
        <v>n/a</v>
      </c>
      <c r="Y534" s="45" t="str">
        <f t="shared" si="2277"/>
        <v>n/a</v>
      </c>
      <c r="Z534" s="45" t="str">
        <f t="shared" si="2277"/>
        <v>n/a</v>
      </c>
      <c r="AA534" s="45" t="str">
        <f t="shared" si="2277"/>
        <v>n/a</v>
      </c>
      <c r="AB534" s="45" t="str">
        <f t="shared" si="2277"/>
        <v>n/a</v>
      </c>
      <c r="AC534" s="45" t="str">
        <f t="shared" si="2277"/>
        <v>n/a</v>
      </c>
      <c r="AD534" s="45" t="str">
        <f t="shared" si="2277"/>
        <v>n/a</v>
      </c>
      <c r="AE534" s="45" t="str">
        <f t="shared" ref="AE534:AG534" si="2282">IFERROR(AE520/(AE$509*1000),"n/a")</f>
        <v>n/a</v>
      </c>
      <c r="AF534" s="45" t="str">
        <f t="shared" si="2282"/>
        <v>n/a</v>
      </c>
      <c r="AG534" s="45" t="str">
        <f t="shared" si="2282"/>
        <v>n/a</v>
      </c>
      <c r="AH534" s="45" t="str">
        <f t="shared" ref="AH534" si="2283">IFERROR(AH520/(AH$509*1000),"n/a")</f>
        <v>n/a</v>
      </c>
      <c r="AO534" s="45" t="str">
        <f>IFERROR(AO520/(AO$509*1000),"n/a")</f>
        <v>n/a</v>
      </c>
      <c r="AP534" s="45">
        <f t="shared" si="2280"/>
        <v>3.7636596316420199E-3</v>
      </c>
      <c r="AQ534" s="45">
        <f t="shared" si="2280"/>
        <v>3.4020674300254453E-3</v>
      </c>
      <c r="AR534" s="45">
        <f t="shared" si="2280"/>
        <v>3.3064226107689249E-3</v>
      </c>
      <c r="AS534" s="45">
        <f t="shared" si="2280"/>
        <v>3.4825148700348878E-3</v>
      </c>
      <c r="AT534" s="45">
        <f t="shared" si="2280"/>
        <v>5.8101391970150846E-3</v>
      </c>
      <c r="AU534" s="45" t="str">
        <f t="shared" si="2280"/>
        <v>n/a</v>
      </c>
      <c r="AV534" s="45" t="str">
        <f t="shared" ref="AV534" si="2284">IFERROR(AV520/(AV$509*1000),"n/a")</f>
        <v>n/a</v>
      </c>
    </row>
    <row r="535" spans="2:48" x14ac:dyDescent="0.2">
      <c r="B535" s="30" t="s">
        <v>112</v>
      </c>
      <c r="H535" s="44">
        <f>IFERROR(H521/(H$509*1000),"n/a")</f>
        <v>1.5559441368897836E-2</v>
      </c>
      <c r="I535" s="44">
        <f t="shared" si="2277"/>
        <v>2.1732506676840898E-2</v>
      </c>
      <c r="J535" s="44">
        <f t="shared" si="2277"/>
        <v>2.5073868909512759E-2</v>
      </c>
      <c r="K535" s="44">
        <f t="shared" si="2277"/>
        <v>2.7820165394402036E-2</v>
      </c>
      <c r="L535" s="44">
        <f t="shared" si="2277"/>
        <v>2.9208091137423755E-2</v>
      </c>
      <c r="M535" s="44">
        <f t="shared" si="2277"/>
        <v>2.9419760259483851E-2</v>
      </c>
      <c r="N535" s="44">
        <f t="shared" si="2277"/>
        <v>2.9758488455129729E-2</v>
      </c>
      <c r="O535" s="44">
        <f t="shared" si="2277"/>
        <v>2.9944253924100932E-2</v>
      </c>
      <c r="P535" s="44">
        <f t="shared" si="2277"/>
        <v>2.7771984963705497E-2</v>
      </c>
      <c r="Q535" s="44">
        <f t="shared" si="2277"/>
        <v>2.9196065263655705E-2</v>
      </c>
      <c r="R535" s="44">
        <f t="shared" si="2277"/>
        <v>2.9744610549811614E-2</v>
      </c>
      <c r="S535" s="44">
        <f t="shared" si="2277"/>
        <v>3.2338186779145732E-2</v>
      </c>
      <c r="T535" s="44" t="str">
        <f t="shared" si="2277"/>
        <v>n/a</v>
      </c>
      <c r="U535" s="44" t="str">
        <f t="shared" si="2277"/>
        <v>n/a</v>
      </c>
      <c r="V535" s="44" t="str">
        <f t="shared" si="2277"/>
        <v>n/a</v>
      </c>
      <c r="W535" s="44">
        <f t="shared" si="2277"/>
        <v>3.5625562047375978E-2</v>
      </c>
      <c r="X535" s="44" t="str">
        <f t="shared" si="2277"/>
        <v>n/a</v>
      </c>
      <c r="Y535" s="44" t="str">
        <f t="shared" si="2277"/>
        <v>n/a</v>
      </c>
      <c r="Z535" s="44" t="str">
        <f t="shared" si="2277"/>
        <v>n/a</v>
      </c>
      <c r="AA535" s="44" t="str">
        <f t="shared" si="2277"/>
        <v>n/a</v>
      </c>
      <c r="AB535" s="44" t="str">
        <f t="shared" si="2277"/>
        <v>n/a</v>
      </c>
      <c r="AC535" s="44" t="str">
        <f t="shared" si="2277"/>
        <v>n/a</v>
      </c>
      <c r="AD535" s="44" t="str">
        <f t="shared" si="2277"/>
        <v>n/a</v>
      </c>
      <c r="AE535" s="44" t="str">
        <f t="shared" ref="AE535:AG535" si="2285">IFERROR(AE521/(AE$509*1000),"n/a")</f>
        <v>n/a</v>
      </c>
      <c r="AF535" s="44" t="str">
        <f t="shared" si="2285"/>
        <v>n/a</v>
      </c>
      <c r="AG535" s="44" t="str">
        <f t="shared" si="2285"/>
        <v>n/a</v>
      </c>
      <c r="AH535" s="44" t="str">
        <f t="shared" ref="AH535" si="2286">IFERROR(AH521/(AH$509*1000),"n/a")</f>
        <v>n/a</v>
      </c>
      <c r="AO535" s="44" t="str">
        <f>IFERROR(AO521/(AO$509*1000),"n/a")</f>
        <v>n/a</v>
      </c>
      <c r="AP535" s="44">
        <f t="shared" si="2280"/>
        <v>1.2328135486817444E-2</v>
      </c>
      <c r="AQ535" s="44">
        <f t="shared" si="2280"/>
        <v>2.782016539440204E-2</v>
      </c>
      <c r="AR535" s="44">
        <f t="shared" si="2280"/>
        <v>2.9944253924100932E-2</v>
      </c>
      <c r="AS535" s="44">
        <f t="shared" si="2280"/>
        <v>3.2338186779145732E-2</v>
      </c>
      <c r="AT535" s="44">
        <f t="shared" si="2280"/>
        <v>3.5625562047375971E-2</v>
      </c>
      <c r="AU535" s="44" t="str">
        <f t="shared" si="2280"/>
        <v>n/a</v>
      </c>
      <c r="AV535" s="44" t="str">
        <f t="shared" ref="AV535" si="2287">IFERROR(AV521/(AV$509*1000),"n/a")</f>
        <v>n/a</v>
      </c>
    </row>
    <row r="536" spans="2:48" ht="13.5" x14ac:dyDescent="0.35">
      <c r="B536" s="20" t="s">
        <v>111</v>
      </c>
      <c r="H536" s="45" t="str">
        <f t="shared" ref="H536:AD536" si="2288">IFERROR(H522/(H510*1000),"n/a")</f>
        <v>n/a</v>
      </c>
      <c r="I536" s="45" t="str">
        <f t="shared" si="2288"/>
        <v>n/a</v>
      </c>
      <c r="J536" s="45" t="str">
        <f t="shared" si="2288"/>
        <v>n/a</v>
      </c>
      <c r="K536" s="45" t="str">
        <f t="shared" si="2288"/>
        <v>n/a</v>
      </c>
      <c r="L536" s="45" t="str">
        <f t="shared" si="2288"/>
        <v>n/a</v>
      </c>
      <c r="M536" s="45" t="str">
        <f t="shared" si="2288"/>
        <v>n/a</v>
      </c>
      <c r="N536" s="45" t="str">
        <f t="shared" si="2288"/>
        <v>n/a</v>
      </c>
      <c r="O536" s="45" t="str">
        <f t="shared" si="2288"/>
        <v>n/a</v>
      </c>
      <c r="P536" s="45" t="str">
        <f t="shared" si="2288"/>
        <v>n/a</v>
      </c>
      <c r="Q536" s="45" t="str">
        <f t="shared" si="2288"/>
        <v>n/a</v>
      </c>
      <c r="R536" s="45">
        <f t="shared" si="2288"/>
        <v>1</v>
      </c>
      <c r="S536" s="45">
        <f t="shared" si="2288"/>
        <v>1</v>
      </c>
      <c r="T536" s="45">
        <f t="shared" si="2288"/>
        <v>1</v>
      </c>
      <c r="U536" s="45">
        <f t="shared" si="2288"/>
        <v>1</v>
      </c>
      <c r="V536" s="45">
        <f t="shared" si="2288"/>
        <v>1</v>
      </c>
      <c r="W536" s="45">
        <f t="shared" si="2288"/>
        <v>1</v>
      </c>
      <c r="X536" s="45">
        <f t="shared" si="2288"/>
        <v>1</v>
      </c>
      <c r="Y536" s="45">
        <f t="shared" si="2288"/>
        <v>1</v>
      </c>
      <c r="Z536" s="45">
        <f t="shared" si="2288"/>
        <v>1</v>
      </c>
      <c r="AA536" s="45">
        <f t="shared" si="2288"/>
        <v>1</v>
      </c>
      <c r="AB536" s="45">
        <f t="shared" si="2288"/>
        <v>1</v>
      </c>
      <c r="AC536" s="45">
        <f t="shared" si="2288"/>
        <v>1</v>
      </c>
      <c r="AD536" s="45">
        <f t="shared" si="2288"/>
        <v>1</v>
      </c>
      <c r="AE536" s="45" t="str">
        <f t="shared" ref="AE536:AG536" si="2289">IFERROR(AE522/(AE510*1000),"n/a")</f>
        <v>n/a</v>
      </c>
      <c r="AF536" s="45" t="str">
        <f t="shared" si="2289"/>
        <v>n/a</v>
      </c>
      <c r="AG536" s="45" t="str">
        <f t="shared" si="2289"/>
        <v>n/a</v>
      </c>
      <c r="AH536" s="45" t="str">
        <f t="shared" ref="AH536" si="2290">IFERROR(AH522/(AH510*1000),"n/a")</f>
        <v>n/a</v>
      </c>
      <c r="AI536" s="16"/>
      <c r="AJ536" s="16"/>
      <c r="AK536" s="16"/>
      <c r="AL536" s="16"/>
      <c r="AM536" s="16"/>
      <c r="AN536" s="16"/>
      <c r="AO536" s="45">
        <f t="shared" ref="AO536:AU537" si="2291">IFERROR(AO522/(AO510*1000),"n/a")</f>
        <v>1</v>
      </c>
      <c r="AP536" s="45">
        <f t="shared" si="2291"/>
        <v>1</v>
      </c>
      <c r="AQ536" s="45" t="str">
        <f t="shared" si="2291"/>
        <v>n/a</v>
      </c>
      <c r="AR536" s="45" t="str">
        <f t="shared" si="2291"/>
        <v>n/a</v>
      </c>
      <c r="AS536" s="45">
        <f t="shared" si="2291"/>
        <v>1</v>
      </c>
      <c r="AT536" s="45">
        <f t="shared" si="2291"/>
        <v>1</v>
      </c>
      <c r="AU536" s="45">
        <f t="shared" si="2291"/>
        <v>1</v>
      </c>
      <c r="AV536" s="45" t="str">
        <f t="shared" ref="AV536" si="2292">IFERROR(AV522/(AV510*1000),"n/a")</f>
        <v>n/a</v>
      </c>
    </row>
    <row r="537" spans="2:48" x14ac:dyDescent="0.2">
      <c r="B537" s="30" t="s">
        <v>113</v>
      </c>
      <c r="H537" s="44">
        <f t="shared" ref="H537:AD537" si="2293">IFERROR(H523/(H511*1000),"n/a")</f>
        <v>1.5559441368897836E-2</v>
      </c>
      <c r="I537" s="44">
        <f t="shared" si="2293"/>
        <v>2.1732506676840898E-2</v>
      </c>
      <c r="J537" s="44">
        <f t="shared" si="2293"/>
        <v>2.5073868909512759E-2</v>
      </c>
      <c r="K537" s="44">
        <f t="shared" si="2293"/>
        <v>2.7820165394402036E-2</v>
      </c>
      <c r="L537" s="44">
        <f t="shared" si="2293"/>
        <v>2.9208091137423755E-2</v>
      </c>
      <c r="M537" s="44">
        <f t="shared" si="2293"/>
        <v>2.9419760259483851E-2</v>
      </c>
      <c r="N537" s="44">
        <f t="shared" si="2293"/>
        <v>2.9758488455129729E-2</v>
      </c>
      <c r="O537" s="44">
        <f t="shared" si="2293"/>
        <v>2.9944253924100932E-2</v>
      </c>
      <c r="P537" s="44">
        <f t="shared" si="2293"/>
        <v>2.7771984963705497E-2</v>
      </c>
      <c r="Q537" s="44">
        <f t="shared" si="2293"/>
        <v>2.9196065263655705E-2</v>
      </c>
      <c r="R537" s="44">
        <f t="shared" si="2293"/>
        <v>3.0006093578485184E-2</v>
      </c>
      <c r="S537" s="44">
        <f t="shared" si="2293"/>
        <v>3.5675140921084196E-2</v>
      </c>
      <c r="T537" s="44" t="str">
        <f t="shared" si="2293"/>
        <v>n/a</v>
      </c>
      <c r="U537" s="44" t="str">
        <f t="shared" si="2293"/>
        <v>n/a</v>
      </c>
      <c r="V537" s="44" t="str">
        <f t="shared" si="2293"/>
        <v>n/a</v>
      </c>
      <c r="W537" s="44">
        <f t="shared" si="2293"/>
        <v>3.8488299467431389E-2</v>
      </c>
      <c r="X537" s="44" t="str">
        <f t="shared" si="2293"/>
        <v>n/a</v>
      </c>
      <c r="Y537" s="44" t="str">
        <f t="shared" si="2293"/>
        <v>n/a</v>
      </c>
      <c r="Z537" s="44" t="str">
        <f t="shared" si="2293"/>
        <v>n/a</v>
      </c>
      <c r="AA537" s="44" t="str">
        <f t="shared" si="2293"/>
        <v>n/a</v>
      </c>
      <c r="AB537" s="44" t="str">
        <f t="shared" si="2293"/>
        <v>n/a</v>
      </c>
      <c r="AC537" s="44" t="str">
        <f t="shared" si="2293"/>
        <v>n/a</v>
      </c>
      <c r="AD537" s="44" t="str">
        <f t="shared" si="2293"/>
        <v>n/a</v>
      </c>
      <c r="AE537" s="44" t="str">
        <f t="shared" ref="AE537:AG537" si="2294">IFERROR(AE523/(AE511*1000),"n/a")</f>
        <v>n/a</v>
      </c>
      <c r="AF537" s="44" t="str">
        <f t="shared" si="2294"/>
        <v>n/a</v>
      </c>
      <c r="AG537" s="44" t="str">
        <f t="shared" si="2294"/>
        <v>n/a</v>
      </c>
      <c r="AH537" s="44" t="str">
        <f t="shared" ref="AH537" si="2295">IFERROR(AH523/(AH511*1000),"n/a")</f>
        <v>n/a</v>
      </c>
      <c r="AO537" s="44" t="str">
        <f t="shared" si="2291"/>
        <v>n/a</v>
      </c>
      <c r="AP537" s="44">
        <f t="shared" si="2291"/>
        <v>1.2351813031161474E-2</v>
      </c>
      <c r="AQ537" s="44">
        <f t="shared" si="2291"/>
        <v>2.782016539440204E-2</v>
      </c>
      <c r="AR537" s="44">
        <f t="shared" si="2291"/>
        <v>2.9944253924100932E-2</v>
      </c>
      <c r="AS537" s="44">
        <f t="shared" si="2291"/>
        <v>3.5675140921084196E-2</v>
      </c>
      <c r="AT537" s="44">
        <f t="shared" si="2291"/>
        <v>3.8488299467431382E-2</v>
      </c>
      <c r="AU537" s="44" t="str">
        <f t="shared" si="2291"/>
        <v>n/a</v>
      </c>
      <c r="AV537" s="44" t="str">
        <f t="shared" ref="AV537" si="2296">IFERROR(AV523/(AV511*1000),"n/a")</f>
        <v>n/a</v>
      </c>
    </row>
    <row r="539" spans="2:48" x14ac:dyDescent="0.2">
      <c r="B539" s="6" t="s">
        <v>116</v>
      </c>
      <c r="C539" s="5"/>
    </row>
    <row r="541" spans="2:48" x14ac:dyDescent="0.2">
      <c r="B541" t="s">
        <v>118</v>
      </c>
      <c r="H541" s="11">
        <v>166.2</v>
      </c>
      <c r="I541" s="11">
        <v>195</v>
      </c>
      <c r="J541" s="11">
        <v>231.7</v>
      </c>
      <c r="K541" s="11">
        <v>272.60000000000002</v>
      </c>
      <c r="L541" s="11">
        <v>289.7</v>
      </c>
      <c r="M541" s="11">
        <v>366</v>
      </c>
      <c r="N541" s="11">
        <v>429.6</v>
      </c>
      <c r="O541" s="11">
        <v>481.5</v>
      </c>
      <c r="P541" s="11">
        <v>487.4</v>
      </c>
      <c r="Q541" s="11">
        <v>568.79999999999995</v>
      </c>
      <c r="R541" s="11">
        <v>643.4</v>
      </c>
      <c r="S541" s="11">
        <v>719.9</v>
      </c>
      <c r="T541" s="11">
        <v>724.6</v>
      </c>
      <c r="U541" s="11">
        <v>738.5</v>
      </c>
      <c r="V541" s="11">
        <v>741.5</v>
      </c>
      <c r="W541" s="11">
        <v>733.4</v>
      </c>
      <c r="X541" s="11">
        <v>751.3</v>
      </c>
      <c r="Y541" s="12" t="s">
        <v>64</v>
      </c>
      <c r="Z541" s="12" t="s">
        <v>64</v>
      </c>
      <c r="AA541" s="12" t="s">
        <v>64</v>
      </c>
      <c r="AB541" s="12" t="s">
        <v>64</v>
      </c>
      <c r="AC541" s="12" t="s">
        <v>64</v>
      </c>
      <c r="AD541" s="12" t="s">
        <v>64</v>
      </c>
      <c r="AE541" s="12" t="s">
        <v>64</v>
      </c>
      <c r="AF541" s="12" t="s">
        <v>64</v>
      </c>
      <c r="AG541" s="12" t="s">
        <v>64</v>
      </c>
      <c r="AH541" s="12" t="s">
        <v>64</v>
      </c>
      <c r="AO541" s="12" t="s">
        <v>64</v>
      </c>
      <c r="AP541" s="12" t="s">
        <v>64</v>
      </c>
      <c r="AQ541" s="17">
        <f>+AVERAGE(H541:K541)</f>
        <v>216.375</v>
      </c>
      <c r="AR541" s="17">
        <f>+AVERAGE(L541:O541)</f>
        <v>391.70000000000005</v>
      </c>
      <c r="AS541" s="17">
        <f>+AVERAGE(P541:S541)</f>
        <v>604.875</v>
      </c>
      <c r="AT541" s="17">
        <f>AVERAGE(T541:W541)</f>
        <v>734.5</v>
      </c>
      <c r="AU541" s="12" t="s">
        <v>64</v>
      </c>
      <c r="AV541" s="12" t="s">
        <v>64</v>
      </c>
    </row>
    <row r="542" spans="2:48" x14ac:dyDescent="0.2">
      <c r="B542" t="s">
        <v>120</v>
      </c>
      <c r="H542" s="12" t="s">
        <v>64</v>
      </c>
      <c r="I542" s="12" t="s">
        <v>64</v>
      </c>
      <c r="J542" s="12" t="s">
        <v>64</v>
      </c>
      <c r="K542" s="12" t="s">
        <v>64</v>
      </c>
      <c r="L542" s="12" t="s">
        <v>64</v>
      </c>
      <c r="M542" s="12" t="s">
        <v>64</v>
      </c>
      <c r="N542" s="12" t="s">
        <v>64</v>
      </c>
      <c r="O542" s="12" t="s">
        <v>64</v>
      </c>
      <c r="P542" s="12" t="s">
        <v>64</v>
      </c>
      <c r="Q542" s="12" t="s">
        <v>64</v>
      </c>
      <c r="R542" s="12" t="s">
        <v>64</v>
      </c>
      <c r="S542" s="12" t="s">
        <v>64</v>
      </c>
      <c r="T542" s="12" t="s">
        <v>64</v>
      </c>
      <c r="U542" s="12" t="s">
        <v>64</v>
      </c>
      <c r="V542" s="12" t="s">
        <v>64</v>
      </c>
      <c r="W542" s="12" t="s">
        <v>64</v>
      </c>
      <c r="X542" s="12" t="s">
        <v>64</v>
      </c>
      <c r="Y542" s="12" t="s">
        <v>64</v>
      </c>
      <c r="Z542" s="12" t="s">
        <v>64</v>
      </c>
      <c r="AA542" s="12" t="s">
        <v>64</v>
      </c>
      <c r="AB542" s="12" t="s">
        <v>64</v>
      </c>
      <c r="AC542" s="12" t="s">
        <v>64</v>
      </c>
      <c r="AD542" s="12" t="s">
        <v>64</v>
      </c>
      <c r="AE542" s="12" t="s">
        <v>64</v>
      </c>
      <c r="AF542" s="12" t="s">
        <v>64</v>
      </c>
      <c r="AG542" s="12" t="s">
        <v>64</v>
      </c>
      <c r="AH542" s="12" t="s">
        <v>64</v>
      </c>
      <c r="AO542" s="12" t="s">
        <v>64</v>
      </c>
      <c r="AP542" s="12" t="s">
        <v>64</v>
      </c>
      <c r="AQ542" s="12" t="s">
        <v>64</v>
      </c>
      <c r="AR542" s="12" t="s">
        <v>64</v>
      </c>
      <c r="AS542" s="12">
        <v>49</v>
      </c>
      <c r="AT542" s="12">
        <v>70</v>
      </c>
      <c r="AU542" s="12" t="s">
        <v>64</v>
      </c>
      <c r="AV542" s="12" t="s">
        <v>64</v>
      </c>
    </row>
    <row r="543" spans="2:48" x14ac:dyDescent="0.2">
      <c r="B543" t="s">
        <v>121</v>
      </c>
      <c r="H543" s="12" t="s">
        <v>64</v>
      </c>
      <c r="I543" s="12" t="s">
        <v>64</v>
      </c>
      <c r="J543" s="12" t="s">
        <v>64</v>
      </c>
      <c r="K543" s="12" t="s">
        <v>64</v>
      </c>
      <c r="L543" s="12" t="s">
        <v>64</v>
      </c>
      <c r="M543" s="12" t="s">
        <v>64</v>
      </c>
      <c r="N543" s="12" t="s">
        <v>64</v>
      </c>
      <c r="O543" s="12" t="s">
        <v>64</v>
      </c>
      <c r="P543" s="12" t="s">
        <v>64</v>
      </c>
      <c r="Q543" s="12" t="s">
        <v>64</v>
      </c>
      <c r="R543" s="12" t="s">
        <v>64</v>
      </c>
      <c r="S543" s="12" t="s">
        <v>64</v>
      </c>
      <c r="T543" s="12" t="s">
        <v>64</v>
      </c>
      <c r="U543" s="12" t="s">
        <v>64</v>
      </c>
      <c r="V543" s="12" t="s">
        <v>64</v>
      </c>
      <c r="W543" s="12" t="s">
        <v>64</v>
      </c>
      <c r="X543" s="12" t="s">
        <v>64</v>
      </c>
      <c r="Y543" s="12" t="s">
        <v>64</v>
      </c>
      <c r="Z543" s="12" t="s">
        <v>64</v>
      </c>
      <c r="AA543" s="12" t="s">
        <v>64</v>
      </c>
      <c r="AB543" s="12" t="s">
        <v>64</v>
      </c>
      <c r="AC543" s="12" t="s">
        <v>64</v>
      </c>
      <c r="AD543" s="12" t="s">
        <v>64</v>
      </c>
      <c r="AE543" s="12" t="s">
        <v>64</v>
      </c>
      <c r="AF543" s="12" t="s">
        <v>64</v>
      </c>
      <c r="AG543" s="12" t="s">
        <v>64</v>
      </c>
      <c r="AH543" s="12" t="s">
        <v>64</v>
      </c>
      <c r="AO543" s="12" t="s">
        <v>64</v>
      </c>
      <c r="AP543" s="12" t="s">
        <v>64</v>
      </c>
      <c r="AQ543" s="12" t="s">
        <v>64</v>
      </c>
      <c r="AR543" s="12">
        <v>51.1</v>
      </c>
      <c r="AS543" s="12">
        <v>43.5</v>
      </c>
      <c r="AT543" s="12">
        <v>40</v>
      </c>
      <c r="AU543" s="12" t="s">
        <v>64</v>
      </c>
      <c r="AV543" s="12" t="s">
        <v>64</v>
      </c>
    </row>
    <row r="544" spans="2:48" x14ac:dyDescent="0.2">
      <c r="B544" t="s">
        <v>119</v>
      </c>
      <c r="H544" s="12" t="s">
        <v>64</v>
      </c>
      <c r="I544" s="12" t="s">
        <v>64</v>
      </c>
      <c r="J544" s="12" t="s">
        <v>64</v>
      </c>
      <c r="K544" s="12" t="s">
        <v>64</v>
      </c>
      <c r="L544" s="12" t="s">
        <v>64</v>
      </c>
      <c r="M544" s="12" t="s">
        <v>64</v>
      </c>
      <c r="N544" s="12" t="s">
        <v>64</v>
      </c>
      <c r="O544" s="12" t="s">
        <v>64</v>
      </c>
      <c r="P544" s="12" t="s">
        <v>64</v>
      </c>
      <c r="Q544" s="12" t="s">
        <v>64</v>
      </c>
      <c r="R544" s="12" t="s">
        <v>64</v>
      </c>
      <c r="S544" s="12" t="s">
        <v>64</v>
      </c>
      <c r="T544" s="12" t="s">
        <v>64</v>
      </c>
      <c r="U544" s="12" t="s">
        <v>64</v>
      </c>
      <c r="V544" s="12" t="s">
        <v>64</v>
      </c>
      <c r="W544" s="12" t="s">
        <v>64</v>
      </c>
      <c r="X544" s="12" t="s">
        <v>64</v>
      </c>
      <c r="Y544" s="12" t="s">
        <v>64</v>
      </c>
      <c r="Z544" s="12" t="s">
        <v>64</v>
      </c>
      <c r="AA544" s="12" t="s">
        <v>64</v>
      </c>
      <c r="AB544" s="12" t="s">
        <v>64</v>
      </c>
      <c r="AC544" s="12" t="s">
        <v>64</v>
      </c>
      <c r="AD544" s="12" t="s">
        <v>64</v>
      </c>
      <c r="AE544" s="12" t="s">
        <v>64</v>
      </c>
      <c r="AF544" s="12" t="s">
        <v>64</v>
      </c>
      <c r="AG544" s="12" t="s">
        <v>64</v>
      </c>
      <c r="AH544" s="12" t="s">
        <v>64</v>
      </c>
      <c r="AO544" s="12" t="s">
        <v>64</v>
      </c>
      <c r="AP544" s="12">
        <v>4300</v>
      </c>
      <c r="AQ544" s="12">
        <v>11100</v>
      </c>
      <c r="AR544" s="12">
        <v>19700</v>
      </c>
      <c r="AS544" s="12">
        <v>38300</v>
      </c>
      <c r="AT544" s="12">
        <v>61000</v>
      </c>
      <c r="AU544" s="12" t="s">
        <v>64</v>
      </c>
      <c r="AV544" s="12" t="s">
        <v>64</v>
      </c>
    </row>
    <row r="545" spans="1:51" x14ac:dyDescent="0.2">
      <c r="B545" t="s">
        <v>117</v>
      </c>
      <c r="H545" s="12">
        <v>1</v>
      </c>
      <c r="I545" s="12">
        <v>1.7</v>
      </c>
      <c r="J545" s="12" t="s">
        <v>64</v>
      </c>
      <c r="K545" s="11">
        <v>3.6</v>
      </c>
      <c r="L545" s="12" t="s">
        <v>64</v>
      </c>
      <c r="M545" s="12" t="s">
        <v>64</v>
      </c>
      <c r="N545" s="12" t="s">
        <v>64</v>
      </c>
      <c r="O545" s="11">
        <v>5.0999999999999996</v>
      </c>
      <c r="P545" s="12" t="s">
        <v>64</v>
      </c>
      <c r="Q545" s="12" t="s">
        <v>64</v>
      </c>
      <c r="R545" s="12" t="s">
        <v>64</v>
      </c>
      <c r="S545" s="11">
        <v>8.6</v>
      </c>
      <c r="T545" s="12" t="s">
        <v>64</v>
      </c>
      <c r="U545" s="12" t="s">
        <v>64</v>
      </c>
      <c r="V545" s="12" t="s">
        <v>64</v>
      </c>
      <c r="W545" s="11">
        <v>11.5</v>
      </c>
      <c r="X545" s="12" t="s">
        <v>64</v>
      </c>
      <c r="Y545" s="12" t="s">
        <v>64</v>
      </c>
      <c r="Z545" s="12" t="s">
        <v>64</v>
      </c>
      <c r="AA545" s="11">
        <v>13</v>
      </c>
      <c r="AB545" s="12" t="s">
        <v>64</v>
      </c>
      <c r="AC545" s="12" t="s">
        <v>64</v>
      </c>
      <c r="AD545" s="12" t="s">
        <v>64</v>
      </c>
      <c r="AE545" s="12">
        <v>14.2</v>
      </c>
      <c r="AF545" s="12" t="s">
        <v>64</v>
      </c>
      <c r="AG545" s="12" t="s">
        <v>64</v>
      </c>
      <c r="AH545" s="12" t="s">
        <v>64</v>
      </c>
      <c r="AO545" s="12" t="s">
        <v>64</v>
      </c>
      <c r="AP545" s="12" t="s">
        <v>64</v>
      </c>
      <c r="AQ545" s="11">
        <v>3.6</v>
      </c>
      <c r="AR545" s="11">
        <v>5.0999999999999996</v>
      </c>
      <c r="AS545" s="11">
        <v>8.6</v>
      </c>
      <c r="AT545" s="11">
        <v>11.5</v>
      </c>
      <c r="AU545" s="11">
        <v>13</v>
      </c>
      <c r="AV545" s="12">
        <v>14.2</v>
      </c>
    </row>
    <row r="546" spans="1:51" x14ac:dyDescent="0.2">
      <c r="H546" s="12"/>
      <c r="I546" s="12"/>
      <c r="J546" s="12"/>
      <c r="K546" s="11"/>
      <c r="L546" s="12"/>
      <c r="M546" s="12"/>
      <c r="N546" s="12"/>
      <c r="O546" s="11"/>
      <c r="P546" s="12"/>
      <c r="Q546" s="12"/>
      <c r="R546" s="12"/>
      <c r="S546" s="11"/>
      <c r="T546" s="12"/>
      <c r="U546" s="12"/>
      <c r="V546" s="12"/>
      <c r="W546" s="11"/>
      <c r="X546" s="12"/>
      <c r="Y546" s="12"/>
      <c r="Z546" s="12"/>
      <c r="AA546" s="11"/>
      <c r="AB546" s="12"/>
      <c r="AC546" s="12"/>
      <c r="AD546" s="12"/>
      <c r="AE546" s="12"/>
      <c r="AG546" s="12"/>
      <c r="AO546" s="12"/>
      <c r="AP546" s="12"/>
      <c r="AQ546" s="11"/>
      <c r="AR546" s="11"/>
      <c r="AS546" s="11"/>
      <c r="AT546" s="11"/>
      <c r="AU546" s="11"/>
      <c r="AV546" s="12"/>
    </row>
    <row r="547" spans="1:51" x14ac:dyDescent="0.2">
      <c r="B547" s="6" t="s">
        <v>373</v>
      </c>
      <c r="C547" s="5"/>
    </row>
    <row r="549" spans="1:51" x14ac:dyDescent="0.2">
      <c r="A549" t="s">
        <v>307</v>
      </c>
      <c r="B549" t="s">
        <v>374</v>
      </c>
      <c r="D549" s="177" cm="1">
        <f t="array" ref="D549">_xll.ciqfunctions.udf.CIQAVG("$"&amp;$A549,"IQ_LASTSALEPRICE",D$7,D$8)</f>
        <v>0.145208</v>
      </c>
      <c r="E549" s="177" cm="1">
        <f t="array" ref="E549">_xll.ciqfunctions.udf.CIQAVG("$"&amp;$A549,"IQ_LASTSALEPRICE",E$7,E$8)</f>
        <v>0.145756</v>
      </c>
      <c r="F549" s="177" cm="1">
        <f t="array" ref="F549">_xll.ciqfunctions.udf.CIQAVG("$"&amp;$A549,"IQ_LASTSALEPRICE",F$7,F$8)</f>
        <v>0.14994499999999999</v>
      </c>
      <c r="G549" s="177" cm="1">
        <f t="array" ref="G549">_xll.ciqfunctions.udf.CIQAVG("$"&amp;$A549,"IQ_LASTSALEPRICE",G$7,G$8)</f>
        <v>0.15123200000000001</v>
      </c>
      <c r="H549" s="177" cm="1">
        <f t="array" ref="H549">_xll.ciqfunctions.udf.CIQAVG("$"&amp;$A549,"IQ_LASTSALEPRICE",H$7,H$8)</f>
        <v>0.157329</v>
      </c>
      <c r="I549" s="177" cm="1">
        <f t="array" ref="I549">_xll.ciqfunctions.udf.CIQAVG("$"&amp;$A549,"IQ_LASTSALEPRICE",I$7,I$8)</f>
        <v>0.15681600000000001</v>
      </c>
      <c r="J549" s="177" cm="1">
        <f t="array" ref="J549">_xll.ciqfunctions.udf.CIQAVG("$"&amp;$A549,"IQ_LASTSALEPRICE",J$7,J$8)</f>
        <v>0.146984</v>
      </c>
      <c r="K549" s="177" cm="1">
        <f t="array" ref="K549">_xll.ciqfunctions.udf.CIQAVG("$"&amp;$A549,"IQ_LASTSALEPRICE",K$7,K$8)</f>
        <v>0.14460799999999999</v>
      </c>
      <c r="L549" s="177" cm="1">
        <f t="array" ref="L549">_xll.ciqfunctions.udf.CIQAVG("$"&amp;$A549,"IQ_LASTSALEPRICE",L$7,L$8)</f>
        <v>0.1482</v>
      </c>
      <c r="M549" s="177" cm="1">
        <f t="array" ref="M549">_xll.ciqfunctions.udf.CIQAVG("$"&amp;$A549,"IQ_LASTSALEPRICE",M$7,M$8)</f>
        <v>0.14660500000000001</v>
      </c>
      <c r="N549" s="177" cm="1">
        <f t="array" ref="N549">_xll.ciqfunctions.udf.CIQAVG("$"&amp;$A549,"IQ_LASTSALEPRICE",N$7,N$8)</f>
        <v>0.14255200000000001</v>
      </c>
      <c r="O549" s="177" cm="1">
        <f t="array" ref="O549">_xll.ciqfunctions.udf.CIQAVG("$"&amp;$A549,"IQ_LASTSALEPRICE",O$7,O$8)</f>
        <v>0.14199000000000001</v>
      </c>
      <c r="P549" s="177" cm="1">
        <f t="array" ref="P549">_xll.ciqfunctions.udf.CIQAVG("$"&amp;$A549,"IQ_LASTSALEPRICE",P$7,P$8)</f>
        <v>0.14328199999999999</v>
      </c>
      <c r="Q549" s="177" cm="1">
        <f t="array" ref="Q549">_xll.ciqfunctions.udf.CIQAVG("$"&amp;$A549,"IQ_LASTSALEPRICE",Q$7,Q$8)</f>
        <v>0.14113700000000001</v>
      </c>
      <c r="R549" s="177" cm="1">
        <f t="array" ref="R549">_xll.ciqfunctions.udf.CIQAVG("$"&amp;$A549,"IQ_LASTSALEPRICE",R$7,R$8)</f>
        <v>0.14454500000000001</v>
      </c>
      <c r="S549" s="177" cm="1">
        <f t="array" ref="S549">_xll.ciqfunctions.udf.CIQAVG("$"&amp;$A549,"IQ_LASTSALEPRICE",S$7,S$8)</f>
        <v>0.15103800000000001</v>
      </c>
      <c r="T549" s="177" cm="1">
        <f t="array" ref="T549">_xll.ciqfunctions.udf.CIQAVG("$"&amp;$A549,"IQ_LASTSALEPRICE",T$7,T$8)</f>
        <v>0.154251</v>
      </c>
      <c r="U549" s="177" cm="1">
        <f t="array" ref="U549">_xll.ciqfunctions.udf.CIQAVG("$"&amp;$A549,"IQ_LASTSALEPRICE",U$7,U$8)</f>
        <v>0.15483</v>
      </c>
      <c r="V549" s="177" cm="1">
        <f t="array" ref="V549">_xll.ciqfunctions.udf.CIQAVG("$"&amp;$A549,"IQ_LASTSALEPRICE",V$7,V$8)</f>
        <v>0.15454300000000001</v>
      </c>
      <c r="W549" s="177" cm="1">
        <f t="array" ref="W549">_xll.ciqfunctions.udf.CIQAVG("$"&amp;$A549,"IQ_LASTSALEPRICE",W$7,W$8)</f>
        <v>0.156413</v>
      </c>
      <c r="X549" s="177" cm="1">
        <f t="array" ref="X549">_xll.ciqfunctions.udf.CIQAVG("$"&amp;$A549,"IQ_LASTSALEPRICE",X$7,X$8)</f>
        <v>0.157531</v>
      </c>
      <c r="Y549" s="177" cm="1">
        <f t="array" ref="Y549">_xll.ciqfunctions.udf.CIQAVG("$"&amp;$A549,"IQ_LASTSALEPRICE",Y$7,Y$8)</f>
        <v>0.15138499999999999</v>
      </c>
      <c r="Z549" s="177" cm="1">
        <f t="array" ref="Z549">_xll.ciqfunctions.udf.CIQAVG("$"&amp;$A549,"IQ_LASTSALEPRICE",Z$7,Z$8)</f>
        <v>0.14613499999999999</v>
      </c>
      <c r="AA549" s="177" cm="1">
        <f t="array" ref="AA549">_xll.ciqfunctions.udf.CIQAVG("$"&amp;$A549,"IQ_LASTSALEPRICE",AA$7,AA$8)</f>
        <v>0.14072599999999999</v>
      </c>
      <c r="AB549" s="177" cm="1">
        <f t="array" ref="AB549">_xll.ciqfunctions.udf.CIQAVG("$"&amp;$A549,"IQ_LASTSALEPRICE",AB$7,AB$8)</f>
        <v>0.146172</v>
      </c>
      <c r="AC549" s="177" cm="1">
        <f t="array" ref="AC549">_xll.ciqfunctions.udf.CIQAVG("$"&amp;$A549,"IQ_LASTSALEPRICE",AC$7,AC$8)</f>
        <v>0.14271</v>
      </c>
      <c r="AD549" s="177" cm="1">
        <f t="array" ref="AD549">_xll.ciqfunctions.udf.CIQAVG("$"&amp;$A549,"IQ_LASTSALEPRICE",AD$7,AD$8)</f>
        <v>0.13806499999999999</v>
      </c>
      <c r="AE549" s="177" cm="1">
        <f t="array" ref="AE549">_xll.ciqfunctions.udf.CIQAVG("$"&amp;$A549,"IQ_LASTSALEPRICE",AE$7,AE$8)</f>
        <v>0.13848299999999999</v>
      </c>
      <c r="AF549" s="177" cm="1">
        <f t="array" ref="AF549">_xll.ciqfunctions.udf.CIQAVG("$"&amp;$A549,"IQ_LASTSALEPRICE",AF$7,AF$8)</f>
        <v>0.139289</v>
      </c>
      <c r="AG549" s="177" cm="1">
        <f t="array" ref="AG549">_xll.ciqfunctions.udf.CIQAVG("$"&amp;$A549,"IQ_LASTSALEPRICE",AG$7,AG$8)</f>
        <v>0.13809199999999999</v>
      </c>
      <c r="AH549" s="177" cm="1">
        <f t="array" ref="AH549">_xll.ciqfunctions.udf.CIQAVG("$"&amp;$A549,"IQ_LASTSALEPRICE",AH$7,AH$8)</f>
        <v>0.13966500000000001</v>
      </c>
      <c r="AI549" s="177" cm="1">
        <f t="array" aca="1" ref="AI549" ca="1">_xll.ciqfunctions.udf.CIQAVG("$"&amp;$A549,"IQ_LASTSALEPRICE",AI$7,AI$8)*(($AX$2-AI$7+1)/(AI$8-AI$7+1))+_xll.ciqfunctions.udf.CIQ("$"&amp;$A549,"IQ_LASTSALEPRICE")*(1-($AX$2-AI$7+1)/(AI$8-AI$7+1))</f>
        <v>0.13969463043478261</v>
      </c>
      <c r="AJ549" s="177" cm="1">
        <f t="array" ref="AJ549">_xll.ciqfunctions.udf.CIQ("$"&amp;$A549,"IQ_LASTSALEPRICE")</f>
        <v>0.138625</v>
      </c>
      <c r="AK549" s="177" cm="1">
        <f t="array" ref="AK549">_xll.ciqfunctions.udf.CIQ("$"&amp;$A549,"IQ_LASTSALEPRICE")</f>
        <v>0.138625</v>
      </c>
      <c r="AL549" s="177" cm="1">
        <f t="array" ref="AL549">_xll.ciqfunctions.udf.CIQ("$"&amp;$A549,"IQ_LASTSALEPRICE")</f>
        <v>0.138625</v>
      </c>
      <c r="AM549" s="177" cm="1">
        <f t="array" ref="AM549">_xll.ciqfunctions.udf.CIQ("$"&amp;$A549,"IQ_LASTSALEPRICE")</f>
        <v>0.138625</v>
      </c>
      <c r="AO549" s="177" cm="1">
        <f t="array" ref="AO549">_xll.ciqfunctions.udf.CIQAVG("$"&amp;$A549,"IQ_LASTSALEPRICE",AO$7,AO$8)</f>
        <v>0.15060200000000001</v>
      </c>
      <c r="AP549" s="177" cm="1">
        <f t="array" ref="AP549">_xll.ciqfunctions.udf.CIQAVG("$"&amp;$A549,"IQ_LASTSALEPRICE",AP$7,AP$8)</f>
        <v>0.14805699999999999</v>
      </c>
      <c r="AQ549" s="177" cm="1">
        <f t="array" ref="AQ549">_xll.ciqfunctions.udf.CIQAVG("$"&amp;$A549,"IQ_LASTSALEPRICE",AQ$7,AQ$8)</f>
        <v>0.15138699999999999</v>
      </c>
      <c r="AR549" s="177" cm="1">
        <f t="array" ref="AR549">_xll.ciqfunctions.udf.CIQAVG("$"&amp;$A549,"IQ_LASTSALEPRICE",AR$7,AR$8)</f>
        <v>0.144814</v>
      </c>
      <c r="AS549" s="177" cm="1">
        <f t="array" ref="AS549">_xll.ciqfunctions.udf.CIQAVG("$"&amp;$A549,"IQ_LASTSALEPRICE",AS$7,AS$8)</f>
        <v>0.14501600000000001</v>
      </c>
      <c r="AT549" s="177" cm="1">
        <f t="array" ref="AT549">_xll.ciqfunctions.udf.CIQAVG("$"&amp;$A549,"IQ_LASTSALEPRICE",AT$7,AT$8)</f>
        <v>0.15501400000000001</v>
      </c>
      <c r="AU549" s="177" cm="1">
        <f t="array" ref="AU549">_xll.ciqfunctions.udf.CIQAVG("$"&amp;$A549,"IQ_LASTSALEPRICE",AU$7,AU$8)</f>
        <v>0.148891</v>
      </c>
      <c r="AV549" s="177" cm="1">
        <f t="array" ref="AV549">_xll.ciqfunctions.udf.CIQAVG("$"&amp;$A549,"IQ_LASTSALEPRICE",AV$7,AV$8)</f>
        <v>0.14132700000000001</v>
      </c>
      <c r="AW549" s="178">
        <f ca="1">+AVERAGE(AF549:AI549)</f>
        <v>0.13918515760869565</v>
      </c>
      <c r="AX549" s="178">
        <f>+AVERAGE(AJ549:AM549)</f>
        <v>0.138625</v>
      </c>
    </row>
    <row r="550" spans="1:51" x14ac:dyDescent="0.2">
      <c r="B550" s="20" t="s">
        <v>85</v>
      </c>
      <c r="L550" s="173">
        <f>+IFERROR(L549/H549-1,"n/a")</f>
        <v>-5.8024903228266922E-2</v>
      </c>
      <c r="M550" s="173">
        <f t="shared" ref="M550:AI550" si="2297">+IFERROR(M549/I549-1,"n/a")</f>
        <v>-6.5114529129680632E-2</v>
      </c>
      <c r="N550" s="173">
        <f t="shared" si="2297"/>
        <v>-3.0152941816796286E-2</v>
      </c>
      <c r="O550" s="173">
        <f t="shared" si="2297"/>
        <v>-1.810411595485717E-2</v>
      </c>
      <c r="P550" s="173">
        <f t="shared" si="2297"/>
        <v>-3.3184885290148514E-2</v>
      </c>
      <c r="Q550" s="173">
        <f t="shared" si="2297"/>
        <v>-3.7297500085263113E-2</v>
      </c>
      <c r="R550" s="173">
        <f t="shared" si="2297"/>
        <v>1.3980863123632004E-2</v>
      </c>
      <c r="S550" s="173">
        <f t="shared" si="2297"/>
        <v>6.3722797380097118E-2</v>
      </c>
      <c r="T550" s="173">
        <f t="shared" si="2297"/>
        <v>7.6555324465040986E-2</v>
      </c>
      <c r="U550" s="173">
        <f t="shared" si="2297"/>
        <v>9.7019208286983405E-2</v>
      </c>
      <c r="V550" s="173">
        <f t="shared" si="2297"/>
        <v>6.9168770970977844E-2</v>
      </c>
      <c r="W550" s="173">
        <f t="shared" si="2297"/>
        <v>3.5587070803373866E-2</v>
      </c>
      <c r="X550" s="173">
        <f t="shared" si="2297"/>
        <v>2.1264043669084742E-2</v>
      </c>
      <c r="Y550" s="173">
        <f t="shared" si="2297"/>
        <v>-2.2250209907640706E-2</v>
      </c>
      <c r="Z550" s="173">
        <f t="shared" si="2297"/>
        <v>-5.4405569970817358E-2</v>
      </c>
      <c r="AA550" s="173">
        <f t="shared" si="2297"/>
        <v>-0.1002921752028284</v>
      </c>
      <c r="AB550" s="173">
        <f t="shared" si="2297"/>
        <v>-7.210644254146803E-2</v>
      </c>
      <c r="AC550" s="173">
        <f t="shared" si="2297"/>
        <v>-5.7304224328698306E-2</v>
      </c>
      <c r="AD550" s="173">
        <f t="shared" si="2297"/>
        <v>-5.5222910322646812E-2</v>
      </c>
      <c r="AE550" s="173">
        <f t="shared" si="2297"/>
        <v>-1.5938774640080644E-2</v>
      </c>
      <c r="AF550" s="173">
        <f t="shared" si="2297"/>
        <v>-4.7088361656131172E-2</v>
      </c>
      <c r="AG550" s="173">
        <f t="shared" si="2297"/>
        <v>-3.2359330110013351E-2</v>
      </c>
      <c r="AH550" s="173">
        <f t="shared" si="2297"/>
        <v>1.1588744431970666E-2</v>
      </c>
      <c r="AI550" s="173">
        <f t="shared" ca="1" si="2297"/>
        <v>8.7493081084510926E-3</v>
      </c>
      <c r="AJ550" s="173">
        <f t="shared" ref="AJ550" si="2298">+IFERROR(AJ549/AF549-1,"n/a")</f>
        <v>-4.7670670332904397E-3</v>
      </c>
      <c r="AK550" s="173">
        <f t="shared" ref="AK550" si="2299">+IFERROR(AK549/AG549-1,"n/a")</f>
        <v>3.8597456767952565E-3</v>
      </c>
      <c r="AL550" s="173">
        <f t="shared" ref="AL550" si="2300">+IFERROR(AL549/AH549-1,"n/a")</f>
        <v>-7.4463895750547238E-3</v>
      </c>
      <c r="AM550" s="173">
        <f t="shared" ref="AM550" ca="1" si="2301">+IFERROR(AM549/AI549-1,"n/a")</f>
        <v>-7.6569187480830525E-3</v>
      </c>
      <c r="AP550" s="173">
        <f>+IFERROR(AP549/AO549-1,"n/a")</f>
        <v>-1.6898845964861131E-2</v>
      </c>
      <c r="AQ550" s="173">
        <f t="shared" ref="AQ550:AX550" si="2302">+IFERROR(AQ549/AP549-1,"n/a")</f>
        <v>2.2491337795578659E-2</v>
      </c>
      <c r="AR550" s="173">
        <f t="shared" si="2302"/>
        <v>-4.3418523387080743E-2</v>
      </c>
      <c r="AS550" s="173">
        <f t="shared" si="2302"/>
        <v>1.3948927589875204E-3</v>
      </c>
      <c r="AT550" s="173">
        <f t="shared" si="2302"/>
        <v>6.8944116511281628E-2</v>
      </c>
      <c r="AU550" s="173">
        <f t="shared" si="2302"/>
        <v>-3.9499658095397905E-2</v>
      </c>
      <c r="AV550" s="173">
        <f t="shared" si="2302"/>
        <v>-5.0802264744007286E-2</v>
      </c>
      <c r="AW550" s="173">
        <f t="shared" ca="1" si="2302"/>
        <v>-1.5155224347112362E-2</v>
      </c>
      <c r="AX550" s="173">
        <f t="shared" ca="1" si="2302"/>
        <v>-4.0245498752854436E-3</v>
      </c>
      <c r="AY550" s="173"/>
    </row>
    <row r="551" spans="1:51" x14ac:dyDescent="0.2">
      <c r="B551" s="20" t="s">
        <v>261</v>
      </c>
      <c r="I551" s="173">
        <f>+IFERROR(I549/H549-1,"n/a")</f>
        <v>-3.2606830272866594E-3</v>
      </c>
      <c r="J551" s="173">
        <f t="shared" ref="J551:AI551" si="2303">+IFERROR(J549/I549-1,"n/a")</f>
        <v>-6.2697683909805124E-2</v>
      </c>
      <c r="K551" s="173">
        <f t="shared" si="2303"/>
        <v>-1.6165024764600355E-2</v>
      </c>
      <c r="L551" s="173">
        <f t="shared" si="2303"/>
        <v>2.4839566275724811E-2</v>
      </c>
      <c r="M551" s="173">
        <f t="shared" si="2303"/>
        <v>-1.076248313090411E-2</v>
      </c>
      <c r="N551" s="173">
        <f t="shared" si="2303"/>
        <v>-2.7645714675488597E-2</v>
      </c>
      <c r="O551" s="173">
        <f t="shared" si="2303"/>
        <v>-3.9424210112801727E-3</v>
      </c>
      <c r="P551" s="173">
        <f t="shared" si="2303"/>
        <v>9.0992323403056297E-3</v>
      </c>
      <c r="Q551" s="173">
        <f t="shared" si="2303"/>
        <v>-1.4970477799025605E-2</v>
      </c>
      <c r="R551" s="173">
        <f t="shared" si="2303"/>
        <v>2.4146751029141766E-2</v>
      </c>
      <c r="S551" s="173">
        <f t="shared" si="2303"/>
        <v>4.4920267044864959E-2</v>
      </c>
      <c r="T551" s="173">
        <f t="shared" si="2303"/>
        <v>2.1272792277440056E-2</v>
      </c>
      <c r="U551" s="173">
        <f t="shared" si="2303"/>
        <v>3.7536223428049631E-3</v>
      </c>
      <c r="V551" s="173">
        <f t="shared" si="2303"/>
        <v>-1.8536459342503031E-3</v>
      </c>
      <c r="W551" s="173">
        <f t="shared" si="2303"/>
        <v>1.210019217952274E-2</v>
      </c>
      <c r="X551" s="173">
        <f t="shared" si="2303"/>
        <v>7.1477434740079282E-3</v>
      </c>
      <c r="Y551" s="173">
        <f t="shared" si="2303"/>
        <v>-3.9014543169280991E-2</v>
      </c>
      <c r="Z551" s="173">
        <f t="shared" si="2303"/>
        <v>-3.4679789939558114E-2</v>
      </c>
      <c r="AA551" s="173">
        <f t="shared" si="2303"/>
        <v>-3.7013720190235078E-2</v>
      </c>
      <c r="AB551" s="173">
        <f t="shared" si="2303"/>
        <v>3.8699316402086348E-2</v>
      </c>
      <c r="AC551" s="173">
        <f t="shared" si="2303"/>
        <v>-2.3684426565963368E-2</v>
      </c>
      <c r="AD551" s="173">
        <f t="shared" si="2303"/>
        <v>-3.2548524980730242E-2</v>
      </c>
      <c r="AE551" s="173">
        <f t="shared" si="2303"/>
        <v>3.0275594828523822E-3</v>
      </c>
      <c r="AF551" s="173">
        <f t="shared" si="2303"/>
        <v>5.8202089787193767E-3</v>
      </c>
      <c r="AG551" s="173">
        <f t="shared" si="2303"/>
        <v>-8.5936434320010857E-3</v>
      </c>
      <c r="AH551" s="173">
        <f t="shared" si="2303"/>
        <v>1.1390956753468906E-2</v>
      </c>
      <c r="AI551" s="173">
        <f t="shared" ca="1" si="2303"/>
        <v>2.1215361602844318E-4</v>
      </c>
      <c r="AJ551" s="173">
        <f t="shared" ref="AJ551" ca="1" si="2304">+IFERROR(AJ549/AI549-1,"n/a")</f>
        <v>-7.6569187480830525E-3</v>
      </c>
      <c r="AK551" s="173">
        <f t="shared" ref="AK551" si="2305">+IFERROR(AK549/AJ549-1,"n/a")</f>
        <v>0</v>
      </c>
      <c r="AL551" s="173">
        <f t="shared" ref="AL551" si="2306">+IFERROR(AL549/AK549-1,"n/a")</f>
        <v>0</v>
      </c>
      <c r="AM551" s="173">
        <f t="shared" ref="AM551" si="2307">+IFERROR(AM549/AL549-1,"n/a")</f>
        <v>0</v>
      </c>
    </row>
    <row r="554" spans="1:51" x14ac:dyDescent="0.2">
      <c r="B554" s="6" t="s">
        <v>25</v>
      </c>
      <c r="C554" s="5"/>
    </row>
    <row r="555" spans="1:51" x14ac:dyDescent="0.2">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Q555" s="33"/>
      <c r="AR555" s="33"/>
      <c r="AS555" s="33"/>
      <c r="AT555" s="206"/>
      <c r="AU555" s="10"/>
      <c r="AV555" s="33"/>
    </row>
    <row r="556" spans="1:51" x14ac:dyDescent="0.2">
      <c r="B556" t="s">
        <v>66</v>
      </c>
      <c r="H556" s="11">
        <v>1108.0999999999999</v>
      </c>
      <c r="I556" s="11">
        <v>2370.9520000000002</v>
      </c>
      <c r="J556" s="11">
        <v>2974.145</v>
      </c>
      <c r="K556" s="11">
        <v>5062.3779999999997</v>
      </c>
      <c r="L556" s="11">
        <v>3948.4140000000002</v>
      </c>
      <c r="M556" s="11">
        <v>6467.0730000000003</v>
      </c>
      <c r="N556" s="11">
        <v>6711.4549999999999</v>
      </c>
      <c r="O556" s="11">
        <v>9686.6990000000005</v>
      </c>
      <c r="P556" s="11">
        <v>5492.27</v>
      </c>
      <c r="Q556" s="11">
        <v>11054.698</v>
      </c>
      <c r="R556" s="11">
        <v>12484.835999999999</v>
      </c>
      <c r="S556" s="11">
        <v>18921.974999999999</v>
      </c>
      <c r="T556" s="11">
        <v>14111.486000000001</v>
      </c>
      <c r="U556" s="11">
        <v>18080.419000000002</v>
      </c>
      <c r="V556" s="11">
        <v>17946.495999999999</v>
      </c>
      <c r="W556" s="11">
        <v>22425.001000000004</v>
      </c>
      <c r="X556" s="11">
        <v>18158.424999999999</v>
      </c>
      <c r="Y556" s="11">
        <v>25172.651000000002</v>
      </c>
      <c r="Z556" s="11">
        <v>28425.645</v>
      </c>
      <c r="AA556" s="11">
        <v>30965.202999999994</v>
      </c>
      <c r="AB556" s="11">
        <v>27244.425999999999</v>
      </c>
      <c r="AC556" s="11">
        <v>37932.830999999998</v>
      </c>
      <c r="AD556" s="11">
        <v>39687.678</v>
      </c>
      <c r="AE556" s="11">
        <v>48675.618000000002</v>
      </c>
      <c r="AF556" s="11">
        <v>42456.243000000002</v>
      </c>
      <c r="AG556" s="11">
        <v>49115.866000000002</v>
      </c>
      <c r="AH556" s="11">
        <v>49351.021999999997</v>
      </c>
      <c r="AO556" s="11">
        <v>0</v>
      </c>
      <c r="AP556" s="11">
        <v>1209.2750000000001</v>
      </c>
      <c r="AQ556" s="11">
        <v>11515.575000000001</v>
      </c>
      <c r="AR556" s="11">
        <v>26813.641</v>
      </c>
      <c r="AS556" s="11">
        <v>47953.779000000002</v>
      </c>
      <c r="AT556" s="11">
        <v>72563.402000000002</v>
      </c>
      <c r="AU556" s="11">
        <v>102721.924</v>
      </c>
      <c r="AV556" s="10">
        <f>+SUM(AB556:AE556)</f>
        <v>153540.55300000001</v>
      </c>
    </row>
    <row r="557" spans="1:51" x14ac:dyDescent="0.2">
      <c r="B557" t="s">
        <v>67</v>
      </c>
      <c r="H557" s="11">
        <v>276.50400000000002</v>
      </c>
      <c r="I557" s="11">
        <v>338.09399999999999</v>
      </c>
      <c r="J557" s="11">
        <v>398.27300000000002</v>
      </c>
      <c r="K557" s="11">
        <v>591.54399999999998</v>
      </c>
      <c r="L557" s="11">
        <v>596.79</v>
      </c>
      <c r="M557" s="11">
        <v>822.93499999999995</v>
      </c>
      <c r="N557" s="11">
        <v>802.49300000000005</v>
      </c>
      <c r="O557" s="11">
        <v>1106.027</v>
      </c>
      <c r="P557" s="11">
        <v>1048.789</v>
      </c>
      <c r="Q557" s="11">
        <v>1138.617</v>
      </c>
      <c r="R557" s="11">
        <v>1332.124</v>
      </c>
      <c r="S557" s="11">
        <v>2267.8850000000002</v>
      </c>
      <c r="T557" s="11">
        <v>2931.4749999999999</v>
      </c>
      <c r="U557" s="11">
        <v>3007.6379999999999</v>
      </c>
      <c r="V557" s="11">
        <v>3477.1469999999999</v>
      </c>
      <c r="W557" s="11">
        <v>4724.1890000000021</v>
      </c>
      <c r="X557" s="11">
        <v>5591.4070000000002</v>
      </c>
      <c r="Y557" s="11">
        <v>6216.2070000000003</v>
      </c>
      <c r="Z557" s="11">
        <v>7022.2520000000004</v>
      </c>
      <c r="AA557" s="11">
        <v>8796.627999999997</v>
      </c>
      <c r="AB557" s="11">
        <v>10392.624</v>
      </c>
      <c r="AC557" s="11">
        <v>14347.916999999999</v>
      </c>
      <c r="AD557" s="11">
        <v>29152.692999999999</v>
      </c>
      <c r="AE557" s="11">
        <v>40205.417999999998</v>
      </c>
      <c r="AF557" s="11">
        <v>44355.815999999999</v>
      </c>
      <c r="AG557" s="11">
        <v>47943.665000000001</v>
      </c>
      <c r="AH557" s="11">
        <v>50003.379000000001</v>
      </c>
      <c r="AO557" s="11">
        <v>48.276000000000003</v>
      </c>
      <c r="AP557" s="11">
        <v>531.41600000000005</v>
      </c>
      <c r="AQ557" s="11">
        <v>1604.415</v>
      </c>
      <c r="AR557" s="11">
        <v>3328.2449999999999</v>
      </c>
      <c r="AS557" s="11">
        <v>5787.415</v>
      </c>
      <c r="AT557" s="11">
        <v>14140.449000000001</v>
      </c>
      <c r="AU557" s="11">
        <v>27626.493999999999</v>
      </c>
      <c r="AV557" s="10">
        <f>+SUM(AB557:AE557)</f>
        <v>94098.652000000002</v>
      </c>
    </row>
    <row r="558" spans="1:51" ht="13.5" x14ac:dyDescent="0.35">
      <c r="B558" t="s">
        <v>2</v>
      </c>
      <c r="H558" s="13">
        <v>0</v>
      </c>
      <c r="I558" s="13">
        <v>0</v>
      </c>
      <c r="J558" s="13">
        <v>0</v>
      </c>
      <c r="K558" s="13">
        <v>0</v>
      </c>
      <c r="L558" s="13">
        <v>0</v>
      </c>
      <c r="M558" s="13">
        <v>0</v>
      </c>
      <c r="N558" s="13">
        <v>0</v>
      </c>
      <c r="O558" s="13">
        <v>0</v>
      </c>
      <c r="P558" s="13">
        <v>0</v>
      </c>
      <c r="Q558" s="13">
        <v>0</v>
      </c>
      <c r="R558" s="13">
        <v>392.822</v>
      </c>
      <c r="S558" s="13">
        <v>5357.8490000000002</v>
      </c>
      <c r="T558" s="13">
        <v>5124.1379999999999</v>
      </c>
      <c r="U558" s="13">
        <v>1958.163</v>
      </c>
      <c r="V558" s="13">
        <v>82.114999999999995</v>
      </c>
      <c r="W558" s="13">
        <v>81.67200000000048</v>
      </c>
      <c r="X558" s="13">
        <v>43.856999999999999</v>
      </c>
      <c r="Y558" s="13">
        <v>50.71</v>
      </c>
      <c r="Z558" s="13">
        <v>56.406999999999996</v>
      </c>
      <c r="AA558" s="13">
        <v>58.197000000000003</v>
      </c>
      <c r="AB558" s="13">
        <v>0</v>
      </c>
      <c r="AC558" s="13">
        <v>0</v>
      </c>
      <c r="AD558" s="13">
        <v>0</v>
      </c>
      <c r="AE558" s="13">
        <v>0</v>
      </c>
      <c r="AF558" s="13">
        <v>0</v>
      </c>
      <c r="AG558" s="13">
        <v>0</v>
      </c>
      <c r="AH558" s="13">
        <v>0</v>
      </c>
      <c r="AO558" s="13">
        <v>456.58800000000002</v>
      </c>
      <c r="AP558" s="13">
        <v>3.3849999999999998</v>
      </c>
      <c r="AQ558" s="13">
        <v>0</v>
      </c>
      <c r="AR558" s="13">
        <v>0</v>
      </c>
      <c r="AS558" s="13">
        <v>5750.6710000000003</v>
      </c>
      <c r="AT558" s="13">
        <v>7246.0879999999997</v>
      </c>
      <c r="AU558" s="13">
        <v>209.17099999999999</v>
      </c>
      <c r="AV558" s="25">
        <f>+SUM(AB558:AE558)</f>
        <v>0</v>
      </c>
    </row>
    <row r="559" spans="1:51" x14ac:dyDescent="0.2">
      <c r="B559" s="4" t="s">
        <v>72</v>
      </c>
      <c r="H559" s="14">
        <f>IFERROR(H556+H557+H558,"n/a")</f>
        <v>1384.6039999999998</v>
      </c>
      <c r="I559" s="14">
        <f t="shared" ref="I559:AD559" si="2308">IFERROR(I556+I557+I558,"n/a")</f>
        <v>2709.0460000000003</v>
      </c>
      <c r="J559" s="14">
        <f t="shared" si="2308"/>
        <v>3372.4180000000001</v>
      </c>
      <c r="K559" s="14">
        <f t="shared" si="2308"/>
        <v>5653.9219999999996</v>
      </c>
      <c r="L559" s="14">
        <f t="shared" si="2308"/>
        <v>4545.2039999999997</v>
      </c>
      <c r="M559" s="14">
        <f t="shared" si="2308"/>
        <v>7290.0079999999998</v>
      </c>
      <c r="N559" s="14">
        <f t="shared" si="2308"/>
        <v>7513.9480000000003</v>
      </c>
      <c r="O559" s="14">
        <f t="shared" si="2308"/>
        <v>10792.726000000001</v>
      </c>
      <c r="P559" s="14">
        <f t="shared" si="2308"/>
        <v>6541.0590000000002</v>
      </c>
      <c r="Q559" s="14">
        <f t="shared" si="2308"/>
        <v>12193.315000000001</v>
      </c>
      <c r="R559" s="14">
        <f t="shared" si="2308"/>
        <v>14209.781999999999</v>
      </c>
      <c r="S559" s="14">
        <f t="shared" si="2308"/>
        <v>26547.709000000003</v>
      </c>
      <c r="T559" s="14">
        <f t="shared" si="2308"/>
        <v>22167.098999999998</v>
      </c>
      <c r="U559" s="14">
        <f t="shared" si="2308"/>
        <v>23046.22</v>
      </c>
      <c r="V559" s="14">
        <f t="shared" si="2308"/>
        <v>21505.758000000002</v>
      </c>
      <c r="W559" s="14">
        <f t="shared" si="2308"/>
        <v>27230.862000000008</v>
      </c>
      <c r="X559" s="14">
        <f t="shared" si="2308"/>
        <v>23793.688999999998</v>
      </c>
      <c r="Y559" s="14">
        <f t="shared" si="2308"/>
        <v>31439.567999999999</v>
      </c>
      <c r="Z559" s="14">
        <f t="shared" si="2308"/>
        <v>35504.303999999996</v>
      </c>
      <c r="AA559" s="14">
        <f t="shared" si="2308"/>
        <v>39820.027999999991</v>
      </c>
      <c r="AB559" s="14">
        <f t="shared" si="2308"/>
        <v>37637.050000000003</v>
      </c>
      <c r="AC559" s="14">
        <f t="shared" si="2308"/>
        <v>52280.748</v>
      </c>
      <c r="AD559" s="14">
        <f t="shared" si="2308"/>
        <v>68840.370999999999</v>
      </c>
      <c r="AE559" s="14">
        <f t="shared" ref="AE559:AF559" si="2309">IFERROR(AE556+AE557+AE558,"n/a")</f>
        <v>88881.035999999993</v>
      </c>
      <c r="AF559" s="14">
        <f t="shared" si="2309"/>
        <v>86812.059000000008</v>
      </c>
      <c r="AG559" s="14">
        <f t="shared" ref="AG559" si="2310">IFERROR(AG556+AG557+AG558,"n/a")</f>
        <v>97059.531000000003</v>
      </c>
      <c r="AH559" s="14">
        <f t="shared" ref="AH559" si="2311">IFERROR(AH556+AH557+AH558,"n/a")</f>
        <v>99354.400999999998</v>
      </c>
      <c r="AO559" s="14">
        <f t="shared" ref="AO559" si="2312">IFERROR(AO556+AO557+AO558,"n/a")</f>
        <v>504.86400000000003</v>
      </c>
      <c r="AP559" s="14">
        <f t="shared" ref="AP559" si="2313">IFERROR(AP556+AP557+AP558,"n/a")</f>
        <v>1744.0760000000002</v>
      </c>
      <c r="AQ559" s="14">
        <f t="shared" ref="AQ559" si="2314">IFERROR(AQ556+AQ557+AQ558,"n/a")</f>
        <v>13119.990000000002</v>
      </c>
      <c r="AR559" s="14">
        <f t="shared" ref="AR559" si="2315">IFERROR(AR556+AR557+AR558,"n/a")</f>
        <v>30141.885999999999</v>
      </c>
      <c r="AS559" s="14">
        <f t="shared" ref="AS559" si="2316">IFERROR(AS556+AS557+AS558,"n/a")</f>
        <v>59491.865000000005</v>
      </c>
      <c r="AT559" s="14">
        <f t="shared" ref="AT559" si="2317">IFERROR(AT556+AT557+AT558,"n/a")</f>
        <v>93949.938999999998</v>
      </c>
      <c r="AU559" s="14">
        <f t="shared" ref="AU559" si="2318">IFERROR(AU556+AU557+AU558,"n/a")</f>
        <v>130557.58900000001</v>
      </c>
      <c r="AV559" s="10">
        <f>+SUM(AB559:AE559)</f>
        <v>247639.20499999999</v>
      </c>
    </row>
    <row r="560" spans="1:51" x14ac:dyDescent="0.2">
      <c r="AP560" s="157"/>
      <c r="AQ560" s="157"/>
      <c r="AR560" s="157"/>
      <c r="AS560" s="157"/>
      <c r="AT560" s="157"/>
      <c r="AU560" s="157"/>
    </row>
    <row r="561" spans="2:48" x14ac:dyDescent="0.2">
      <c r="B561" t="s">
        <v>5</v>
      </c>
      <c r="H561" s="12">
        <v>163.666</v>
      </c>
      <c r="I561" s="12" t="s">
        <v>64</v>
      </c>
      <c r="J561" s="12" t="s">
        <v>64</v>
      </c>
      <c r="K561" s="12" t="s">
        <v>64</v>
      </c>
      <c r="L561" s="12" t="s">
        <v>64</v>
      </c>
      <c r="M561" s="12" t="s">
        <v>64</v>
      </c>
      <c r="N561" s="12" t="s">
        <v>64</v>
      </c>
      <c r="O561" s="12" t="s">
        <v>64</v>
      </c>
      <c r="P561" s="12" t="s">
        <v>64</v>
      </c>
      <c r="Q561" s="12" t="s">
        <v>64</v>
      </c>
      <c r="R561" s="12" t="s">
        <v>64</v>
      </c>
      <c r="S561" s="12" t="s">
        <v>64</v>
      </c>
      <c r="T561" s="12" t="s">
        <v>64</v>
      </c>
      <c r="U561" s="12" t="s">
        <v>64</v>
      </c>
      <c r="V561" s="12" t="s">
        <v>64</v>
      </c>
      <c r="W561" s="12" t="s">
        <v>64</v>
      </c>
      <c r="X561" s="12" t="s">
        <v>64</v>
      </c>
      <c r="Y561" s="12" t="s">
        <v>64</v>
      </c>
      <c r="Z561" s="12" t="s">
        <v>64</v>
      </c>
      <c r="AA561" s="12" t="s">
        <v>64</v>
      </c>
      <c r="AB561" s="12" t="s">
        <v>64</v>
      </c>
      <c r="AC561" s="12" t="s">
        <v>64</v>
      </c>
      <c r="AD561" s="12" t="s">
        <v>64</v>
      </c>
      <c r="AE561" s="12" t="s">
        <v>64</v>
      </c>
      <c r="AF561" s="12" t="s">
        <v>64</v>
      </c>
      <c r="AG561" s="12" t="s">
        <v>64</v>
      </c>
      <c r="AH561" s="12" t="s">
        <v>64</v>
      </c>
      <c r="AO561" s="11">
        <v>51.863999999999997</v>
      </c>
      <c r="AP561" s="11">
        <v>541.32000000000005</v>
      </c>
      <c r="AQ561" s="11">
        <v>639.29</v>
      </c>
      <c r="AR561" s="11">
        <v>341.87900000000002</v>
      </c>
      <c r="AS561" s="11">
        <v>1545.5640000000001</v>
      </c>
      <c r="AT561" s="11">
        <v>3108.0859999999998</v>
      </c>
      <c r="AU561" s="11">
        <v>3450.9290000000001</v>
      </c>
      <c r="AV561" s="12">
        <v>6824.3860000000004</v>
      </c>
    </row>
    <row r="562" spans="2:48" x14ac:dyDescent="0.2">
      <c r="B562" t="s">
        <v>68</v>
      </c>
      <c r="H562" s="12">
        <v>155.03399999999999</v>
      </c>
      <c r="I562" s="12" t="s">
        <v>64</v>
      </c>
      <c r="J562" s="12" t="s">
        <v>64</v>
      </c>
      <c r="K562" s="12" t="s">
        <v>64</v>
      </c>
      <c r="L562" s="12" t="s">
        <v>64</v>
      </c>
      <c r="M562" s="12" t="s">
        <v>64</v>
      </c>
      <c r="N562" s="12" t="s">
        <v>64</v>
      </c>
      <c r="O562" s="12" t="s">
        <v>64</v>
      </c>
      <c r="P562" s="12" t="s">
        <v>64</v>
      </c>
      <c r="Q562" s="12" t="s">
        <v>64</v>
      </c>
      <c r="R562" s="12" t="s">
        <v>64</v>
      </c>
      <c r="S562" s="12" t="s">
        <v>64</v>
      </c>
      <c r="T562" s="12" t="s">
        <v>64</v>
      </c>
      <c r="U562" s="12" t="s">
        <v>64</v>
      </c>
      <c r="V562" s="12" t="s">
        <v>64</v>
      </c>
      <c r="W562" s="12" t="s">
        <v>64</v>
      </c>
      <c r="X562" s="12" t="s">
        <v>64</v>
      </c>
      <c r="Y562" s="12" t="s">
        <v>64</v>
      </c>
      <c r="Z562" s="12" t="s">
        <v>64</v>
      </c>
      <c r="AA562" s="12" t="s">
        <v>64</v>
      </c>
      <c r="AB562" s="12" t="s">
        <v>64</v>
      </c>
      <c r="AC562" s="12" t="s">
        <v>64</v>
      </c>
      <c r="AD562" s="12" t="s">
        <v>64</v>
      </c>
      <c r="AE562" s="12" t="s">
        <v>64</v>
      </c>
      <c r="AF562" s="12" t="s">
        <v>64</v>
      </c>
      <c r="AG562" s="12" t="s">
        <v>64</v>
      </c>
      <c r="AH562" s="12" t="s">
        <v>64</v>
      </c>
      <c r="AO562" s="11">
        <v>41.686</v>
      </c>
      <c r="AP562" s="11">
        <v>178.458</v>
      </c>
      <c r="AQ562" s="11">
        <v>2265.9589999999998</v>
      </c>
      <c r="AR562" s="11">
        <v>5996.8990000000003</v>
      </c>
      <c r="AS562" s="11">
        <v>17733.077000000001</v>
      </c>
      <c r="AT562" s="11">
        <v>28610.007000000001</v>
      </c>
      <c r="AU562" s="11">
        <v>28011.368999999999</v>
      </c>
      <c r="AV562" s="12">
        <v>84899.191000000006</v>
      </c>
    </row>
    <row r="563" spans="2:48" ht="13.5" x14ac:dyDescent="0.35">
      <c r="B563" t="s">
        <v>3</v>
      </c>
      <c r="H563" s="23">
        <v>0</v>
      </c>
      <c r="I563" s="23" t="s">
        <v>64</v>
      </c>
      <c r="J563" s="23" t="s">
        <v>64</v>
      </c>
      <c r="K563" s="23" t="s">
        <v>64</v>
      </c>
      <c r="L563" s="23" t="s">
        <v>64</v>
      </c>
      <c r="M563" s="23" t="s">
        <v>64</v>
      </c>
      <c r="N563" s="23" t="s">
        <v>64</v>
      </c>
      <c r="O563" s="23" t="s">
        <v>64</v>
      </c>
      <c r="P563" s="23" t="s">
        <v>64</v>
      </c>
      <c r="Q563" s="23" t="s">
        <v>64</v>
      </c>
      <c r="R563" s="23" t="s">
        <v>64</v>
      </c>
      <c r="S563" s="23" t="s">
        <v>64</v>
      </c>
      <c r="T563" s="23" t="s">
        <v>64</v>
      </c>
      <c r="U563" s="23" t="s">
        <v>64</v>
      </c>
      <c r="V563" s="23" t="s">
        <v>64</v>
      </c>
      <c r="W563" s="23" t="s">
        <v>64</v>
      </c>
      <c r="X563" s="23" t="s">
        <v>64</v>
      </c>
      <c r="Y563" s="23" t="s">
        <v>64</v>
      </c>
      <c r="Z563" s="23" t="s">
        <v>64</v>
      </c>
      <c r="AA563" s="23" t="s">
        <v>64</v>
      </c>
      <c r="AB563" s="23" t="s">
        <v>64</v>
      </c>
      <c r="AC563" s="23" t="s">
        <v>64</v>
      </c>
      <c r="AD563" s="23" t="s">
        <v>64</v>
      </c>
      <c r="AE563" s="23" t="s">
        <v>64</v>
      </c>
      <c r="AF563" s="23" t="s">
        <v>64</v>
      </c>
      <c r="AG563" s="23" t="s">
        <v>64</v>
      </c>
      <c r="AH563" s="23" t="s">
        <v>64</v>
      </c>
      <c r="AO563" s="13">
        <v>484.31900000000002</v>
      </c>
      <c r="AP563" s="13">
        <v>3.052</v>
      </c>
      <c r="AQ563" s="13">
        <v>0</v>
      </c>
      <c r="AR563" s="13">
        <v>0</v>
      </c>
      <c r="AS563" s="13">
        <v>0</v>
      </c>
      <c r="AT563" s="13">
        <v>0</v>
      </c>
      <c r="AU563" s="13">
        <v>0</v>
      </c>
      <c r="AV563" s="13">
        <v>0</v>
      </c>
    </row>
    <row r="564" spans="2:48" x14ac:dyDescent="0.2">
      <c r="B564" s="4" t="s">
        <v>4</v>
      </c>
      <c r="H564" s="14">
        <f>SUM(H561:H563)</f>
        <v>318.7</v>
      </c>
      <c r="I564" s="11">
        <v>387.83</v>
      </c>
      <c r="J564" s="11">
        <v>774.68399999999997</v>
      </c>
      <c r="K564" s="11">
        <v>1424.0349999999999</v>
      </c>
      <c r="L564" s="11">
        <v>873.31399999999996</v>
      </c>
      <c r="M564" s="11">
        <v>1594.7090000000001</v>
      </c>
      <c r="N564" s="11">
        <v>1833.318</v>
      </c>
      <c r="O564" s="11">
        <v>2037.4369999999999</v>
      </c>
      <c r="P564" s="11">
        <v>1830.2470000000001</v>
      </c>
      <c r="Q564" s="11">
        <v>2662.1149999999998</v>
      </c>
      <c r="R564" s="11">
        <v>3260.1550000000002</v>
      </c>
      <c r="S564" s="11">
        <v>11526.124</v>
      </c>
      <c r="T564" s="11">
        <v>10746.05</v>
      </c>
      <c r="U564" s="11">
        <v>7897.8860000000004</v>
      </c>
      <c r="V564" s="11">
        <v>6558.6480000000001</v>
      </c>
      <c r="W564" s="11">
        <v>6515.5089999999982</v>
      </c>
      <c r="X564" s="11">
        <v>7159.5950000000003</v>
      </c>
      <c r="Y564" s="11">
        <v>7961.866</v>
      </c>
      <c r="Z564" s="11">
        <v>7414.1319999999996</v>
      </c>
      <c r="AA564" s="11">
        <v>8926.7049999999981</v>
      </c>
      <c r="AB564" s="11">
        <v>11125.285</v>
      </c>
      <c r="AC564" s="11">
        <v>18689.787</v>
      </c>
      <c r="AD564" s="11">
        <v>26830.233</v>
      </c>
      <c r="AE564" s="11">
        <v>35078.271999999997</v>
      </c>
      <c r="AF564" s="11">
        <v>32694.686000000002</v>
      </c>
      <c r="AG564" s="11">
        <v>33698.097999999998</v>
      </c>
      <c r="AH564" s="11">
        <v>39709.214</v>
      </c>
      <c r="AO564" s="14">
        <f t="shared" ref="AO564" si="2319">IFERROR(AO561+AO562+AO563,"n/a")</f>
        <v>577.86900000000003</v>
      </c>
      <c r="AP564" s="14">
        <f t="shared" ref="AP564" si="2320">IFERROR(AP561+AP562+AP563,"n/a")</f>
        <v>722.83</v>
      </c>
      <c r="AQ564" s="14">
        <f t="shared" ref="AQ564" si="2321">IFERROR(AQ561+AQ562+AQ563,"n/a")</f>
        <v>2905.2489999999998</v>
      </c>
      <c r="AR564" s="14">
        <f t="shared" ref="AR564" si="2322">IFERROR(AR561+AR562+AR563,"n/a")</f>
        <v>6338.7780000000002</v>
      </c>
      <c r="AS564" s="14">
        <f t="shared" ref="AS564" si="2323">IFERROR(AS561+AS562+AS563,"n/a")</f>
        <v>19278.641</v>
      </c>
      <c r="AT564" s="14">
        <f t="shared" ref="AT564" si="2324">IFERROR(AT561+AT562+AT563,"n/a")</f>
        <v>31718.093000000001</v>
      </c>
      <c r="AU564" s="14">
        <f t="shared" ref="AU564" si="2325">IFERROR(AU561+AU562+AU563,"n/a")</f>
        <v>31462.297999999999</v>
      </c>
      <c r="AV564" s="10">
        <f>+SUM(AB564:AE564)</f>
        <v>91723.57699999999</v>
      </c>
    </row>
    <row r="565" spans="2:48" x14ac:dyDescent="0.2">
      <c r="AV565" s="33"/>
    </row>
    <row r="566" spans="2:48" x14ac:dyDescent="0.2">
      <c r="B566" t="s">
        <v>12</v>
      </c>
      <c r="H566" s="14">
        <f t="shared" ref="H566:AE566" si="2326">IFERROR(H559-H564,"n/a")</f>
        <v>1065.9039999999998</v>
      </c>
      <c r="I566" s="14">
        <f t="shared" si="2326"/>
        <v>2321.2160000000003</v>
      </c>
      <c r="J566" s="14">
        <f t="shared" si="2326"/>
        <v>2597.7340000000004</v>
      </c>
      <c r="K566" s="14">
        <f t="shared" si="2326"/>
        <v>4229.8869999999997</v>
      </c>
      <c r="L566" s="14">
        <f t="shared" si="2326"/>
        <v>3671.89</v>
      </c>
      <c r="M566" s="14">
        <f t="shared" si="2326"/>
        <v>5695.299</v>
      </c>
      <c r="N566" s="14">
        <f t="shared" si="2326"/>
        <v>5680.63</v>
      </c>
      <c r="O566" s="14">
        <f t="shared" si="2326"/>
        <v>8755.2890000000007</v>
      </c>
      <c r="P566" s="14">
        <f t="shared" si="2326"/>
        <v>4710.8119999999999</v>
      </c>
      <c r="Q566" s="14">
        <f t="shared" si="2326"/>
        <v>9531.2000000000007</v>
      </c>
      <c r="R566" s="14">
        <f t="shared" si="2326"/>
        <v>10949.626999999999</v>
      </c>
      <c r="S566" s="14">
        <f t="shared" si="2326"/>
        <v>15021.585000000003</v>
      </c>
      <c r="T566" s="14">
        <f t="shared" si="2326"/>
        <v>11421.048999999999</v>
      </c>
      <c r="U566" s="14">
        <f t="shared" si="2326"/>
        <v>15148.334000000001</v>
      </c>
      <c r="V566" s="14">
        <f t="shared" si="2326"/>
        <v>14947.11</v>
      </c>
      <c r="W566" s="14">
        <f t="shared" si="2326"/>
        <v>20715.35300000001</v>
      </c>
      <c r="X566" s="14">
        <f t="shared" si="2326"/>
        <v>16634.093999999997</v>
      </c>
      <c r="Y566" s="14">
        <f t="shared" si="2326"/>
        <v>23477.701999999997</v>
      </c>
      <c r="Z566" s="14">
        <f t="shared" si="2326"/>
        <v>28090.171999999999</v>
      </c>
      <c r="AA566" s="14">
        <f t="shared" si="2326"/>
        <v>30893.322999999993</v>
      </c>
      <c r="AB566" s="14">
        <f t="shared" si="2326"/>
        <v>26511.765000000003</v>
      </c>
      <c r="AC566" s="14">
        <f t="shared" si="2326"/>
        <v>33590.960999999996</v>
      </c>
      <c r="AD566" s="14">
        <f t="shared" si="2326"/>
        <v>42010.137999999999</v>
      </c>
      <c r="AE566" s="14">
        <f t="shared" si="2326"/>
        <v>53802.763999999996</v>
      </c>
      <c r="AF566" s="14">
        <f t="shared" ref="AF566:AG566" si="2327">IFERROR(AF559-AF564,"n/a")</f>
        <v>54117.373000000007</v>
      </c>
      <c r="AG566" s="14">
        <f t="shared" si="2327"/>
        <v>63361.433000000005</v>
      </c>
      <c r="AH566" s="14">
        <f t="shared" ref="AH566" si="2328">IFERROR(AH559-AH564,"n/a")</f>
        <v>59645.186999999998</v>
      </c>
      <c r="AO566" s="14">
        <f t="shared" ref="AO566:AU566" si="2329">IFERROR(AO559-AO564,"n/a")</f>
        <v>-73.004999999999995</v>
      </c>
      <c r="AP566" s="14">
        <f t="shared" si="2329"/>
        <v>1021.2460000000002</v>
      </c>
      <c r="AQ566" s="14">
        <f t="shared" si="2329"/>
        <v>10214.741000000002</v>
      </c>
      <c r="AR566" s="14">
        <f t="shared" si="2329"/>
        <v>23803.108</v>
      </c>
      <c r="AS566" s="14">
        <f t="shared" si="2329"/>
        <v>40213.224000000002</v>
      </c>
      <c r="AT566" s="14">
        <f t="shared" si="2329"/>
        <v>62231.845999999998</v>
      </c>
      <c r="AU566" s="14">
        <f t="shared" si="2329"/>
        <v>99095.291000000012</v>
      </c>
      <c r="AV566" s="10">
        <f>+SUM(AB566:AE566)</f>
        <v>155915.628</v>
      </c>
    </row>
    <row r="568" spans="2:48" x14ac:dyDescent="0.2">
      <c r="B568" t="s">
        <v>6</v>
      </c>
      <c r="H568" s="11">
        <v>1217.4580000000001</v>
      </c>
      <c r="I568" s="11">
        <v>2970.7339999999999</v>
      </c>
      <c r="J568" s="11">
        <v>3229.6469999999999</v>
      </c>
      <c r="K568" s="11">
        <v>6023.9740000000002</v>
      </c>
      <c r="L568" s="11">
        <v>4889.2550000000001</v>
      </c>
      <c r="M568" s="11">
        <v>6103.7030000000004</v>
      </c>
      <c r="N568" s="11">
        <v>6908.7550000000001</v>
      </c>
      <c r="O568" s="11">
        <v>9272.5360000000001</v>
      </c>
      <c r="P568" s="11">
        <v>7296.6210000000001</v>
      </c>
      <c r="Q568" s="11">
        <v>9113.5840000000007</v>
      </c>
      <c r="R568" s="11">
        <v>10071.868</v>
      </c>
      <c r="S568" s="11">
        <v>14712.526</v>
      </c>
      <c r="T568" s="11">
        <v>12997.406999999999</v>
      </c>
      <c r="U568" s="11">
        <v>10387.873</v>
      </c>
      <c r="V568" s="11">
        <v>10050.611000000001</v>
      </c>
      <c r="W568" s="11">
        <v>11365.828999999998</v>
      </c>
      <c r="X568" s="11">
        <v>11219.067999999999</v>
      </c>
      <c r="Y568" s="11">
        <v>11343.447</v>
      </c>
      <c r="Z568" s="11">
        <v>14048.82</v>
      </c>
      <c r="AA568" s="11">
        <v>17732.383999999998</v>
      </c>
      <c r="AB568" s="11">
        <v>16259.688</v>
      </c>
      <c r="AC568" s="11">
        <v>17542.208999999999</v>
      </c>
      <c r="AD568" s="11">
        <v>21748.449000000001</v>
      </c>
      <c r="AE568" s="11">
        <v>26638.524000000001</v>
      </c>
      <c r="AF568" s="11">
        <v>23410.654999999999</v>
      </c>
      <c r="AG568" s="11">
        <v>26049.136999999999</v>
      </c>
      <c r="AH568" s="11">
        <v>30483.8</v>
      </c>
      <c r="AO568" s="11">
        <v>168.99</v>
      </c>
      <c r="AP568" s="11">
        <v>1344.5820000000001</v>
      </c>
      <c r="AQ568" s="11">
        <v>13441.813</v>
      </c>
      <c r="AR568" s="11">
        <v>27174.249</v>
      </c>
      <c r="AS568" s="11">
        <v>41194.599000000002</v>
      </c>
      <c r="AT568" s="11">
        <v>44801.72</v>
      </c>
      <c r="AU568" s="11">
        <v>54343.718999999997</v>
      </c>
      <c r="AV568" s="10">
        <f>+SUM(AB568:AE568)</f>
        <v>82188.87</v>
      </c>
    </row>
    <row r="569" spans="2:48" x14ac:dyDescent="0.2">
      <c r="B569" t="s">
        <v>7</v>
      </c>
      <c r="H569" s="11">
        <v>28.760999999999999</v>
      </c>
      <c r="I569" s="11">
        <v>5800.6729999999998</v>
      </c>
      <c r="J569" s="11">
        <v>305.56900000000002</v>
      </c>
      <c r="K569" s="11">
        <v>321.60899999999947</v>
      </c>
      <c r="L569" s="11">
        <v>236.07499999999999</v>
      </c>
      <c r="M569" s="11">
        <v>278.34500000000003</v>
      </c>
      <c r="N569" s="11">
        <v>436.61</v>
      </c>
      <c r="O569" s="11">
        <v>345.68200000000002</v>
      </c>
      <c r="P569" s="11">
        <v>338.274</v>
      </c>
      <c r="Q569" s="11">
        <v>394.84199999999998</v>
      </c>
      <c r="R569" s="11">
        <v>368.61099999999999</v>
      </c>
      <c r="S569" s="11">
        <v>405.57</v>
      </c>
      <c r="T569" s="11">
        <v>351.85500000000002</v>
      </c>
      <c r="U569" s="11">
        <v>434.15100000000001</v>
      </c>
      <c r="V569" s="11">
        <v>334.80599999999998</v>
      </c>
      <c r="W569" s="11">
        <v>419.96199999999976</v>
      </c>
      <c r="X569" s="11">
        <v>592.11300000000006</v>
      </c>
      <c r="Y569" s="11">
        <v>825.72199999999998</v>
      </c>
      <c r="Z569" s="11">
        <v>906.57299999999998</v>
      </c>
      <c r="AA569" s="11">
        <v>1640.527</v>
      </c>
      <c r="AB569" s="11">
        <v>816.40200000000004</v>
      </c>
      <c r="AC569" s="11">
        <v>596.03300000000002</v>
      </c>
      <c r="AD569" s="11">
        <v>758.34500000000003</v>
      </c>
      <c r="AE569" s="11">
        <v>1904.8420000000001</v>
      </c>
      <c r="AF569" s="11">
        <v>1823.4449999999999</v>
      </c>
      <c r="AG569" s="11">
        <v>1838.55</v>
      </c>
      <c r="AH569" s="11">
        <v>1805.576</v>
      </c>
      <c r="AO569" s="11">
        <v>14.792999999999999</v>
      </c>
      <c r="AP569" s="11">
        <v>133.20699999999999</v>
      </c>
      <c r="AQ569" s="11">
        <v>6456.6120000000001</v>
      </c>
      <c r="AR569" s="11">
        <v>1296.712</v>
      </c>
      <c r="AS569" s="11">
        <v>1507.2969999999998</v>
      </c>
      <c r="AT569" s="11">
        <v>1540.7739999999999</v>
      </c>
      <c r="AU569" s="11">
        <v>3964.9349999999999</v>
      </c>
      <c r="AV569" s="10">
        <f>+SUM(AB569:AE569)</f>
        <v>4075.6219999999998</v>
      </c>
    </row>
    <row r="570" spans="2:48" x14ac:dyDescent="0.2">
      <c r="B570" t="s">
        <v>8</v>
      </c>
      <c r="H570" s="11">
        <v>72.817999999999998</v>
      </c>
      <c r="I570" s="11">
        <v>186.029</v>
      </c>
      <c r="J570" s="11">
        <v>331.99700000000001</v>
      </c>
      <c r="K570" s="11">
        <v>525.21299999999997</v>
      </c>
      <c r="L570" s="11">
        <v>667.08100000000002</v>
      </c>
      <c r="M570" s="11">
        <v>803.66399999999999</v>
      </c>
      <c r="N570" s="11">
        <v>1127.2380000000001</v>
      </c>
      <c r="O570" s="11">
        <v>1272.375</v>
      </c>
      <c r="P570" s="11">
        <v>1473.15</v>
      </c>
      <c r="Q570" s="11">
        <v>1662.356</v>
      </c>
      <c r="R570" s="11">
        <v>1804.886</v>
      </c>
      <c r="S570" s="11">
        <v>1951.261</v>
      </c>
      <c r="T570" s="11">
        <v>2218.7429999999999</v>
      </c>
      <c r="U570" s="11">
        <v>2328.8310000000001</v>
      </c>
      <c r="V570" s="11">
        <v>2422.4209999999998</v>
      </c>
      <c r="W570" s="11">
        <v>2022.5949999999993</v>
      </c>
      <c r="X570" s="11">
        <v>2668.5070000000001</v>
      </c>
      <c r="Y570" s="11">
        <v>2611.366</v>
      </c>
      <c r="Z570" s="11">
        <v>2698.1660000000002</v>
      </c>
      <c r="AA570" s="11">
        <v>2406.6770000000006</v>
      </c>
      <c r="AB570" s="11">
        <v>2506.6570000000002</v>
      </c>
      <c r="AC570" s="11">
        <v>2733.9639999999999</v>
      </c>
      <c r="AD570" s="11">
        <v>2847.3229999999999</v>
      </c>
      <c r="AE570" s="11">
        <v>2864.43</v>
      </c>
      <c r="AF570" s="11">
        <v>2909.62</v>
      </c>
      <c r="AG570" s="11">
        <v>2909.21</v>
      </c>
      <c r="AH570" s="11">
        <v>3063.3530000000001</v>
      </c>
      <c r="AO570" s="11">
        <v>29.420999999999999</v>
      </c>
      <c r="AP570" s="11">
        <v>129.18100000000001</v>
      </c>
      <c r="AQ570" s="11">
        <v>1116.057</v>
      </c>
      <c r="AR570" s="11">
        <v>3870.3580000000002</v>
      </c>
      <c r="AS570" s="11">
        <v>6891.6530000000002</v>
      </c>
      <c r="AT570" s="11">
        <v>8992.59</v>
      </c>
      <c r="AU570" s="11">
        <v>10384.716</v>
      </c>
      <c r="AV570" s="10">
        <f>+SUM(AB570:AE570)</f>
        <v>10952.374</v>
      </c>
    </row>
    <row r="571" spans="2:48" ht="13.5" x14ac:dyDescent="0.35">
      <c r="B571" t="s">
        <v>9</v>
      </c>
      <c r="H571" s="13">
        <v>0</v>
      </c>
      <c r="I571" s="13">
        <v>0</v>
      </c>
      <c r="J571" s="13">
        <v>0</v>
      </c>
      <c r="K571" s="13">
        <v>0</v>
      </c>
      <c r="L571" s="13">
        <v>0</v>
      </c>
      <c r="M571" s="13">
        <v>0</v>
      </c>
      <c r="N571" s="13">
        <v>0</v>
      </c>
      <c r="O571" s="13">
        <v>0</v>
      </c>
      <c r="P571" s="13">
        <v>0</v>
      </c>
      <c r="Q571" s="13">
        <v>0</v>
      </c>
      <c r="R571" s="13">
        <v>0</v>
      </c>
      <c r="S571" s="13">
        <v>0</v>
      </c>
      <c r="T571" s="13">
        <v>0</v>
      </c>
      <c r="U571" s="13">
        <v>0</v>
      </c>
      <c r="V571" s="13">
        <v>0</v>
      </c>
      <c r="W571" s="13">
        <v>0</v>
      </c>
      <c r="X571" s="13">
        <v>0</v>
      </c>
      <c r="Y571" s="13">
        <v>0</v>
      </c>
      <c r="Z571" s="13">
        <v>0</v>
      </c>
      <c r="AA571" s="13">
        <v>0</v>
      </c>
      <c r="AB571" s="13">
        <v>0</v>
      </c>
      <c r="AC571" s="13">
        <v>0</v>
      </c>
      <c r="AD571" s="13">
        <v>0</v>
      </c>
      <c r="AE571" s="13">
        <v>0</v>
      </c>
      <c r="AF571" s="13">
        <v>0</v>
      </c>
      <c r="AG571" s="13">
        <v>0</v>
      </c>
      <c r="AH571" s="13">
        <v>0</v>
      </c>
      <c r="AO571" s="13">
        <v>0</v>
      </c>
      <c r="AP571" s="13">
        <v>10</v>
      </c>
      <c r="AQ571" s="13">
        <v>0</v>
      </c>
      <c r="AR571" s="13">
        <v>0</v>
      </c>
      <c r="AS571" s="13">
        <v>0</v>
      </c>
      <c r="AT571" s="13">
        <v>0</v>
      </c>
      <c r="AU571" s="13">
        <v>0</v>
      </c>
      <c r="AV571" s="25">
        <f>+SUM(AB571:AE571)</f>
        <v>0</v>
      </c>
    </row>
    <row r="572" spans="2:48" x14ac:dyDescent="0.2">
      <c r="B572" s="4" t="s">
        <v>10</v>
      </c>
      <c r="H572" s="14">
        <f>IFERROR(H568+H569+H570+H571,"n/a")</f>
        <v>1319.037</v>
      </c>
      <c r="I572" s="14">
        <f t="shared" ref="I572:AD572" si="2330">IFERROR(I568+I569+I570+I571,"n/a")</f>
        <v>8957.4359999999997</v>
      </c>
      <c r="J572" s="14">
        <f t="shared" si="2330"/>
        <v>3867.2129999999997</v>
      </c>
      <c r="K572" s="14">
        <f t="shared" si="2330"/>
        <v>6870.7959999999994</v>
      </c>
      <c r="L572" s="14">
        <f t="shared" si="2330"/>
        <v>5792.4110000000001</v>
      </c>
      <c r="M572" s="14">
        <f t="shared" si="2330"/>
        <v>7185.7120000000004</v>
      </c>
      <c r="N572" s="14">
        <f t="shared" si="2330"/>
        <v>8472.6029999999992</v>
      </c>
      <c r="O572" s="14">
        <f t="shared" si="2330"/>
        <v>10890.593000000001</v>
      </c>
      <c r="P572" s="14">
        <f t="shared" si="2330"/>
        <v>9108.0450000000001</v>
      </c>
      <c r="Q572" s="14">
        <f t="shared" si="2330"/>
        <v>11170.782000000001</v>
      </c>
      <c r="R572" s="14">
        <f t="shared" si="2330"/>
        <v>12245.365000000002</v>
      </c>
      <c r="S572" s="14">
        <f t="shared" si="2330"/>
        <v>17069.357</v>
      </c>
      <c r="T572" s="14">
        <f t="shared" si="2330"/>
        <v>15568.004999999999</v>
      </c>
      <c r="U572" s="14">
        <f t="shared" si="2330"/>
        <v>13150.855</v>
      </c>
      <c r="V572" s="14">
        <f t="shared" si="2330"/>
        <v>12807.838000000002</v>
      </c>
      <c r="W572" s="14">
        <f t="shared" si="2330"/>
        <v>13808.385999999997</v>
      </c>
      <c r="X572" s="14">
        <f t="shared" si="2330"/>
        <v>14479.687999999998</v>
      </c>
      <c r="Y572" s="14">
        <f t="shared" si="2330"/>
        <v>14780.535</v>
      </c>
      <c r="Z572" s="14">
        <f t="shared" si="2330"/>
        <v>17653.559000000001</v>
      </c>
      <c r="AA572" s="14">
        <f t="shared" si="2330"/>
        <v>21779.588</v>
      </c>
      <c r="AB572" s="14">
        <f t="shared" si="2330"/>
        <v>19582.746999999999</v>
      </c>
      <c r="AC572" s="14">
        <f t="shared" si="2330"/>
        <v>20872.205999999998</v>
      </c>
      <c r="AD572" s="14">
        <f t="shared" si="2330"/>
        <v>25354.117000000002</v>
      </c>
      <c r="AE572" s="14">
        <f t="shared" ref="AE572:AF572" si="2331">IFERROR(AE568+AE569+AE570+AE571,"n/a")</f>
        <v>31407.796000000002</v>
      </c>
      <c r="AF572" s="14">
        <f t="shared" si="2331"/>
        <v>28143.719999999998</v>
      </c>
      <c r="AG572" s="14">
        <f t="shared" ref="AG572" si="2332">IFERROR(AG568+AG569+AG570+AG571,"n/a")</f>
        <v>30796.896999999997</v>
      </c>
      <c r="AH572" s="14">
        <f t="shared" ref="AH572" si="2333">IFERROR(AH568+AH569+AH570+AH571,"n/a")</f>
        <v>35352.728999999999</v>
      </c>
      <c r="AO572" s="14">
        <f>IFERROR(AO568+AO569+AO570+AO571,"n/a")</f>
        <v>213.20400000000001</v>
      </c>
      <c r="AP572" s="14">
        <f t="shared" ref="AP572:AU572" si="2334">IFERROR(AP568+AP569+AP570+AP571,"n/a")</f>
        <v>1616.9700000000003</v>
      </c>
      <c r="AQ572" s="14">
        <f t="shared" si="2334"/>
        <v>21014.482</v>
      </c>
      <c r="AR572" s="14">
        <f t="shared" si="2334"/>
        <v>32341.319</v>
      </c>
      <c r="AS572" s="14">
        <f t="shared" si="2334"/>
        <v>49593.548999999999</v>
      </c>
      <c r="AT572" s="14">
        <f t="shared" si="2334"/>
        <v>55335.084000000003</v>
      </c>
      <c r="AU572" s="14">
        <f t="shared" si="2334"/>
        <v>68693.37</v>
      </c>
      <c r="AV572" s="10">
        <f>+SUM(AB572:AE572)</f>
        <v>97216.865999999995</v>
      </c>
    </row>
    <row r="574" spans="2:48" x14ac:dyDescent="0.2">
      <c r="B574" t="s">
        <v>11</v>
      </c>
      <c r="H574" s="14">
        <f>IFERROR(H566-H572,"n/a")</f>
        <v>-253.13300000000027</v>
      </c>
      <c r="I574" s="14">
        <f t="shared" ref="I574:AD574" si="2335">IFERROR(I566-I572,"n/a")</f>
        <v>-6636.2199999999993</v>
      </c>
      <c r="J574" s="14">
        <f t="shared" si="2335"/>
        <v>-1269.4789999999994</v>
      </c>
      <c r="K574" s="14">
        <f t="shared" si="2335"/>
        <v>-2640.9089999999997</v>
      </c>
      <c r="L574" s="14">
        <f t="shared" si="2335"/>
        <v>-2120.5210000000002</v>
      </c>
      <c r="M574" s="14">
        <f t="shared" si="2335"/>
        <v>-1490.4130000000005</v>
      </c>
      <c r="N574" s="14">
        <f t="shared" si="2335"/>
        <v>-2791.972999999999</v>
      </c>
      <c r="O574" s="14">
        <f t="shared" si="2335"/>
        <v>-2135.3040000000001</v>
      </c>
      <c r="P574" s="14">
        <f t="shared" si="2335"/>
        <v>-4397.2330000000002</v>
      </c>
      <c r="Q574" s="14">
        <f t="shared" si="2335"/>
        <v>-1639.5820000000003</v>
      </c>
      <c r="R574" s="14">
        <f t="shared" si="2335"/>
        <v>-1295.738000000003</v>
      </c>
      <c r="S574" s="14">
        <f t="shared" si="2335"/>
        <v>-2047.7719999999972</v>
      </c>
      <c r="T574" s="14">
        <f t="shared" si="2335"/>
        <v>-4146.9560000000001</v>
      </c>
      <c r="U574" s="14">
        <f t="shared" si="2335"/>
        <v>1997.4790000000012</v>
      </c>
      <c r="V574" s="14">
        <f t="shared" si="2335"/>
        <v>2139.271999999999</v>
      </c>
      <c r="W574" s="14">
        <f t="shared" si="2335"/>
        <v>6906.9670000000133</v>
      </c>
      <c r="X574" s="14">
        <f t="shared" si="2335"/>
        <v>2154.405999999999</v>
      </c>
      <c r="Y574" s="14">
        <f t="shared" si="2335"/>
        <v>8697.1669999999976</v>
      </c>
      <c r="Z574" s="14">
        <f t="shared" si="2335"/>
        <v>10436.612999999998</v>
      </c>
      <c r="AA574" s="14">
        <f t="shared" si="2335"/>
        <v>9113.7349999999933</v>
      </c>
      <c r="AB574" s="14">
        <f t="shared" si="2335"/>
        <v>6929.0180000000037</v>
      </c>
      <c r="AC574" s="14">
        <f t="shared" si="2335"/>
        <v>12718.754999999997</v>
      </c>
      <c r="AD574" s="14">
        <f t="shared" si="2335"/>
        <v>16656.020999999997</v>
      </c>
      <c r="AE574" s="14">
        <f t="shared" ref="AE574:AF574" si="2336">IFERROR(AE566-AE572,"n/a")</f>
        <v>22394.967999999993</v>
      </c>
      <c r="AF574" s="14">
        <f t="shared" si="2336"/>
        <v>25973.653000000009</v>
      </c>
      <c r="AG574" s="14">
        <f t="shared" ref="AG574" si="2337">IFERROR(AG566-AG572,"n/a")</f>
        <v>32564.536000000007</v>
      </c>
      <c r="AH574" s="14">
        <f t="shared" ref="AH574" si="2338">IFERROR(AH566-AH572,"n/a")</f>
        <v>24292.457999999999</v>
      </c>
      <c r="AO574" s="14">
        <f t="shared" ref="AO574:AU574" si="2339">IFERROR(AO566-AO572,"n/a")</f>
        <v>-286.209</v>
      </c>
      <c r="AP574" s="14">
        <f t="shared" si="2339"/>
        <v>-595.72400000000005</v>
      </c>
      <c r="AQ574" s="14">
        <f t="shared" si="2339"/>
        <v>-10799.740999999998</v>
      </c>
      <c r="AR574" s="14">
        <f t="shared" si="2339"/>
        <v>-8538.2109999999993</v>
      </c>
      <c r="AS574" s="14">
        <f t="shared" si="2339"/>
        <v>-9380.3249999999971</v>
      </c>
      <c r="AT574" s="14">
        <f t="shared" si="2339"/>
        <v>6896.7619999999952</v>
      </c>
      <c r="AU574" s="14">
        <f t="shared" si="2339"/>
        <v>30401.921000000017</v>
      </c>
      <c r="AV574" s="10">
        <f t="shared" ref="AV574:AV586" si="2340">+SUM(AB574:AE574)</f>
        <v>58698.761999999988</v>
      </c>
    </row>
    <row r="575" spans="2:48" x14ac:dyDescent="0.2">
      <c r="B575" t="s">
        <v>13</v>
      </c>
      <c r="H575" s="11">
        <v>50.162999999999997</v>
      </c>
      <c r="I575" s="11">
        <v>136.601</v>
      </c>
      <c r="J575" s="11">
        <v>164.81899999999999</v>
      </c>
      <c r="K575" s="11">
        <v>233.35700000000008</v>
      </c>
      <c r="L575" s="11">
        <v>252.102</v>
      </c>
      <c r="M575" s="11">
        <v>402.56799999999998</v>
      </c>
      <c r="N575" s="11">
        <v>414.61500000000001</v>
      </c>
      <c r="O575" s="11">
        <v>472.54</v>
      </c>
      <c r="P575" s="11">
        <v>460.28199999999998</v>
      </c>
      <c r="Q575" s="11">
        <v>838.27599999999995</v>
      </c>
      <c r="R575" s="11">
        <v>485.41300000000001</v>
      </c>
      <c r="S575" s="11">
        <v>671.39499999999998</v>
      </c>
      <c r="T575" s="11">
        <v>970.47699999999998</v>
      </c>
      <c r="U575" s="11">
        <v>544.62900000000002</v>
      </c>
      <c r="V575" s="11">
        <v>631.91300000000001</v>
      </c>
      <c r="W575" s="11">
        <v>914.64299999999957</v>
      </c>
      <c r="X575" s="11">
        <v>796.26099999999997</v>
      </c>
      <c r="Y575" s="11">
        <v>756.99099999999999</v>
      </c>
      <c r="Z575" s="11">
        <v>1092.1500000000001</v>
      </c>
      <c r="AA575" s="11">
        <v>1351.6979999999999</v>
      </c>
      <c r="AB575" s="11">
        <v>1463.5989999999999</v>
      </c>
      <c r="AC575" s="11">
        <v>2287.741</v>
      </c>
      <c r="AD575" s="11">
        <v>2127.3560000000002</v>
      </c>
      <c r="AE575" s="11">
        <v>4359.384</v>
      </c>
      <c r="AF575" s="11">
        <v>5048.5889999999999</v>
      </c>
      <c r="AG575" s="11">
        <v>4855.5919999999996</v>
      </c>
      <c r="AH575" s="11">
        <v>5416.08</v>
      </c>
      <c r="AO575" s="11">
        <v>4.46</v>
      </c>
      <c r="AP575" s="11">
        <v>80.783000000000001</v>
      </c>
      <c r="AQ575" s="11">
        <v>584.94000000000005</v>
      </c>
      <c r="AR575" s="11">
        <v>1541.825</v>
      </c>
      <c r="AS575" s="11">
        <v>2455.366</v>
      </c>
      <c r="AT575" s="11">
        <v>3061.6619999999998</v>
      </c>
      <c r="AU575" s="11">
        <v>3997.1</v>
      </c>
      <c r="AV575" s="10">
        <f t="shared" si="2340"/>
        <v>10238.08</v>
      </c>
    </row>
    <row r="576" spans="2:48" x14ac:dyDescent="0.2">
      <c r="B576" t="s">
        <v>14</v>
      </c>
      <c r="H576" s="11">
        <v>0</v>
      </c>
      <c r="I576" s="11">
        <v>0</v>
      </c>
      <c r="J576" s="11">
        <v>0</v>
      </c>
      <c r="K576" s="11">
        <v>0</v>
      </c>
      <c r="L576" s="11">
        <v>0</v>
      </c>
      <c r="M576" s="11">
        <v>0</v>
      </c>
      <c r="N576" s="11">
        <v>-6.15</v>
      </c>
      <c r="O576" s="11">
        <v>-139.708</v>
      </c>
      <c r="P576" s="11">
        <v>-150.63399999999999</v>
      </c>
      <c r="Q576" s="11">
        <v>-162.91800000000001</v>
      </c>
      <c r="R576" s="11">
        <v>-165.63800000000001</v>
      </c>
      <c r="S576" s="11">
        <v>-278.14600000000002</v>
      </c>
      <c r="T576" s="11">
        <v>-335.45600000000002</v>
      </c>
      <c r="U576" s="11">
        <v>-293.99900000000002</v>
      </c>
      <c r="V576" s="11">
        <v>-298.43099999999998</v>
      </c>
      <c r="W576" s="11">
        <v>-303.11599999999999</v>
      </c>
      <c r="X576" s="11">
        <v>-12.64</v>
      </c>
      <c r="Y576" s="11">
        <v>-13.148</v>
      </c>
      <c r="Z576" s="11">
        <v>-13.646000000000001</v>
      </c>
      <c r="AA576" s="11">
        <v>-12.221000000000004</v>
      </c>
      <c r="AB576" s="11">
        <v>-11.686999999999999</v>
      </c>
      <c r="AC576" s="11">
        <v>-11.936999999999999</v>
      </c>
      <c r="AD576" s="11">
        <v>-12.208</v>
      </c>
      <c r="AE576" s="11">
        <v>-8.1549999999999994</v>
      </c>
      <c r="AF576" s="11">
        <v>0</v>
      </c>
      <c r="AG576" s="11">
        <v>0</v>
      </c>
      <c r="AH576" s="11">
        <v>0</v>
      </c>
      <c r="AO576" s="11">
        <v>0</v>
      </c>
      <c r="AP576" s="11">
        <v>0</v>
      </c>
      <c r="AQ576" s="11">
        <v>0</v>
      </c>
      <c r="AR576" s="11">
        <v>-145.858</v>
      </c>
      <c r="AS576" s="11">
        <v>-757.33600000000001</v>
      </c>
      <c r="AT576" s="11">
        <v>-1231.002</v>
      </c>
      <c r="AU576" s="11">
        <v>-51.655000000000001</v>
      </c>
      <c r="AV576" s="10">
        <f t="shared" si="2340"/>
        <v>-43.987000000000002</v>
      </c>
    </row>
    <row r="577" spans="2:48" x14ac:dyDescent="0.2">
      <c r="B577" t="s">
        <v>15</v>
      </c>
      <c r="H577" s="11">
        <v>-2.1360000000000001</v>
      </c>
      <c r="I577" s="11">
        <v>3.5960000000000001</v>
      </c>
      <c r="J577" s="11">
        <v>5.4189999999999996</v>
      </c>
      <c r="K577" s="11">
        <v>3.1580000000000013</v>
      </c>
      <c r="L577" s="11">
        <v>-1.8859999999999999</v>
      </c>
      <c r="M577" s="11">
        <v>44.76</v>
      </c>
      <c r="N577" s="11">
        <v>33.542000000000002</v>
      </c>
      <c r="O577" s="11">
        <v>-13.237</v>
      </c>
      <c r="P577" s="11">
        <v>-19.273</v>
      </c>
      <c r="Q577" s="11">
        <v>-2.3969999999999998</v>
      </c>
      <c r="R577" s="11">
        <v>97.861000000000004</v>
      </c>
      <c r="S577" s="11">
        <v>149.006</v>
      </c>
      <c r="T577" s="11">
        <v>-10.374000000000001</v>
      </c>
      <c r="U577" s="11">
        <v>44.451999999999998</v>
      </c>
      <c r="V577" s="11">
        <v>-10.433</v>
      </c>
      <c r="W577" s="11">
        <v>48.105000000000004</v>
      </c>
      <c r="X577" s="11">
        <v>20.084</v>
      </c>
      <c r="Y577" s="11">
        <v>-199.34899999999999</v>
      </c>
      <c r="Z577" s="11">
        <v>53.374000000000002</v>
      </c>
      <c r="AA577" s="11">
        <v>-23.819000000000017</v>
      </c>
      <c r="AB577" s="11">
        <v>-16.036999999999999</v>
      </c>
      <c r="AC577" s="11">
        <v>155.71700000000001</v>
      </c>
      <c r="AD577" s="11">
        <v>94.86</v>
      </c>
      <c r="AE577" s="11">
        <v>-198.81899999999999</v>
      </c>
      <c r="AF577" s="11">
        <v>214.518</v>
      </c>
      <c r="AG577" s="11">
        <v>60.164999999999999</v>
      </c>
      <c r="AH577" s="11">
        <v>-547.34299999999996</v>
      </c>
      <c r="AO577" s="11">
        <v>0.47499999999999998</v>
      </c>
      <c r="AP577" s="11">
        <v>-11.547000000000001</v>
      </c>
      <c r="AQ577" s="11">
        <v>10.037000000000001</v>
      </c>
      <c r="AR577" s="11">
        <v>63.179000000000002</v>
      </c>
      <c r="AS577" s="11">
        <v>225.197</v>
      </c>
      <c r="AT577" s="11">
        <v>71.75</v>
      </c>
      <c r="AU577" s="11">
        <v>-149.71</v>
      </c>
      <c r="AV577" s="10">
        <f t="shared" si="2340"/>
        <v>35.721000000000032</v>
      </c>
    </row>
    <row r="578" spans="2:48" x14ac:dyDescent="0.2">
      <c r="B578" t="s">
        <v>16</v>
      </c>
      <c r="H578" s="11">
        <v>0</v>
      </c>
      <c r="I578" s="11">
        <v>0</v>
      </c>
      <c r="J578" s="11">
        <v>0</v>
      </c>
      <c r="K578" s="11">
        <v>0</v>
      </c>
      <c r="L578" s="11">
        <v>0</v>
      </c>
      <c r="M578" s="11">
        <v>0</v>
      </c>
      <c r="N578" s="11">
        <v>0</v>
      </c>
      <c r="O578" s="11">
        <v>0</v>
      </c>
      <c r="P578" s="11">
        <v>0</v>
      </c>
      <c r="Q578" s="11">
        <v>0</v>
      </c>
      <c r="R578" s="11">
        <v>0</v>
      </c>
      <c r="S578" s="11">
        <v>0</v>
      </c>
      <c r="T578" s="11">
        <v>0</v>
      </c>
      <c r="U578" s="11">
        <v>0</v>
      </c>
      <c r="V578" s="11">
        <v>0</v>
      </c>
      <c r="W578" s="11">
        <v>0</v>
      </c>
      <c r="X578" s="11">
        <v>0</v>
      </c>
      <c r="Y578" s="11">
        <v>0</v>
      </c>
      <c r="Z578" s="11">
        <v>0</v>
      </c>
      <c r="AA578" s="11">
        <v>0</v>
      </c>
      <c r="AB578" s="11">
        <v>0</v>
      </c>
      <c r="AC578" s="11">
        <v>0</v>
      </c>
      <c r="AD578" s="11">
        <v>0</v>
      </c>
      <c r="AE578" s="11">
        <v>0</v>
      </c>
      <c r="AF578" s="11">
        <v>0</v>
      </c>
      <c r="AG578" s="11">
        <v>0</v>
      </c>
      <c r="AH578" s="11">
        <v>0</v>
      </c>
      <c r="AO578" s="11">
        <v>-8.6679999999999993</v>
      </c>
      <c r="AP578" s="11">
        <v>0</v>
      </c>
      <c r="AQ578" s="11">
        <v>0</v>
      </c>
      <c r="AR578" s="11">
        <v>0</v>
      </c>
      <c r="AS578" s="11">
        <v>0</v>
      </c>
      <c r="AT578" s="11">
        <v>0</v>
      </c>
      <c r="AU578" s="11">
        <v>0</v>
      </c>
      <c r="AV578" s="10">
        <f t="shared" si="2340"/>
        <v>0</v>
      </c>
    </row>
    <row r="579" spans="2:48" ht="13.5" x14ac:dyDescent="0.35">
      <c r="B579" t="s">
        <v>17</v>
      </c>
      <c r="H579" s="13">
        <v>4.085</v>
      </c>
      <c r="I579" s="13">
        <v>2.1349999999999998</v>
      </c>
      <c r="J579" s="13">
        <v>0.91800000000000004</v>
      </c>
      <c r="K579" s="13">
        <v>-19.499000000000002</v>
      </c>
      <c r="L579" s="13">
        <v>-7.4029999999999996</v>
      </c>
      <c r="M579" s="13">
        <v>39.835000000000001</v>
      </c>
      <c r="N579" s="13">
        <v>23.175999999999998</v>
      </c>
      <c r="O579" s="13">
        <v>27.178000000000001</v>
      </c>
      <c r="P579" s="13">
        <v>-12.391</v>
      </c>
      <c r="Q579" s="13">
        <v>67.007999999999996</v>
      </c>
      <c r="R579" s="13">
        <v>57.936</v>
      </c>
      <c r="S579" s="13">
        <v>81.149000000000001</v>
      </c>
      <c r="T579" s="13">
        <v>470.38400000000001</v>
      </c>
      <c r="U579" s="13">
        <v>123.39100000000001</v>
      </c>
      <c r="V579" s="13">
        <v>-52.606000000000002</v>
      </c>
      <c r="W579" s="13">
        <v>115.08600000000001</v>
      </c>
      <c r="X579" s="13">
        <v>239.77</v>
      </c>
      <c r="Y579" s="13">
        <v>1266.2349999999999</v>
      </c>
      <c r="Z579" s="13">
        <v>546.52800000000002</v>
      </c>
      <c r="AA579" s="13">
        <v>168.82500000000027</v>
      </c>
      <c r="AB579" s="13">
        <v>1227.52</v>
      </c>
      <c r="AC579" s="13">
        <v>1106.471</v>
      </c>
      <c r="AD579" s="13">
        <v>290.38400000000001</v>
      </c>
      <c r="AE579" s="13">
        <v>328.20400000000001</v>
      </c>
      <c r="AF579" s="13">
        <v>1881.248</v>
      </c>
      <c r="AG579" s="13">
        <v>493.25799999999998</v>
      </c>
      <c r="AH579" s="13">
        <v>18.606000000000002</v>
      </c>
      <c r="AI579" s="16"/>
      <c r="AJ579" s="16"/>
      <c r="AK579" s="16"/>
      <c r="AL579" s="16"/>
      <c r="AM579" s="16"/>
      <c r="AN579" s="16"/>
      <c r="AO579" s="13">
        <v>-2.0339999999999998</v>
      </c>
      <c r="AP579" s="13">
        <v>1.373</v>
      </c>
      <c r="AQ579" s="13">
        <v>-12.361000000000001</v>
      </c>
      <c r="AR579" s="13">
        <v>82.786000000000001</v>
      </c>
      <c r="AS579" s="13">
        <v>193.702</v>
      </c>
      <c r="AT579" s="13">
        <v>656.255</v>
      </c>
      <c r="AU579" s="13">
        <v>2221.3580000000002</v>
      </c>
      <c r="AV579" s="25">
        <f t="shared" si="2340"/>
        <v>2952.5790000000002</v>
      </c>
    </row>
    <row r="580" spans="2:48" x14ac:dyDescent="0.2">
      <c r="B580" s="4" t="s">
        <v>18</v>
      </c>
      <c r="H580" s="14">
        <f>IFERROR(H574+H575+H576+H577+H578+H579,"n/a")</f>
        <v>-201.02100000000024</v>
      </c>
      <c r="I580" s="14">
        <f t="shared" ref="I580:AD580" si="2341">IFERROR(I574+I575+I576+I577+I578+I579,"n/a")</f>
        <v>-6493.8879999999999</v>
      </c>
      <c r="J580" s="14">
        <f t="shared" si="2341"/>
        <v>-1098.3229999999994</v>
      </c>
      <c r="K580" s="14">
        <f t="shared" si="2341"/>
        <v>-2423.8929999999996</v>
      </c>
      <c r="L580" s="14">
        <f t="shared" si="2341"/>
        <v>-1877.7080000000001</v>
      </c>
      <c r="M580" s="14">
        <f t="shared" si="2341"/>
        <v>-1003.2500000000005</v>
      </c>
      <c r="N580" s="14">
        <f t="shared" si="2341"/>
        <v>-2326.7899999999995</v>
      </c>
      <c r="O580" s="14">
        <f t="shared" si="2341"/>
        <v>-1788.5310000000002</v>
      </c>
      <c r="P580" s="14">
        <f t="shared" si="2341"/>
        <v>-4119.2489999999998</v>
      </c>
      <c r="Q580" s="14">
        <f t="shared" si="2341"/>
        <v>-899.6130000000004</v>
      </c>
      <c r="R580" s="14">
        <f t="shared" si="2341"/>
        <v>-820.16600000000301</v>
      </c>
      <c r="S580" s="14">
        <f t="shared" si="2341"/>
        <v>-1424.3679999999972</v>
      </c>
      <c r="T580" s="14">
        <f t="shared" si="2341"/>
        <v>-3051.9250000000002</v>
      </c>
      <c r="U580" s="14">
        <f t="shared" si="2341"/>
        <v>2415.9520000000016</v>
      </c>
      <c r="V580" s="14">
        <f t="shared" si="2341"/>
        <v>2409.7149999999988</v>
      </c>
      <c r="W580" s="14">
        <f t="shared" si="2341"/>
        <v>7681.6850000000131</v>
      </c>
      <c r="X580" s="14">
        <f t="shared" si="2341"/>
        <v>3197.8809999999989</v>
      </c>
      <c r="Y580" s="14">
        <f t="shared" si="2341"/>
        <v>10507.895999999999</v>
      </c>
      <c r="Z580" s="14">
        <f t="shared" si="2341"/>
        <v>12115.018999999997</v>
      </c>
      <c r="AA580" s="14">
        <f t="shared" si="2341"/>
        <v>10598.217999999995</v>
      </c>
      <c r="AB580" s="14">
        <f t="shared" si="2341"/>
        <v>9592.4130000000041</v>
      </c>
      <c r="AC580" s="14">
        <f t="shared" si="2341"/>
        <v>16256.746999999998</v>
      </c>
      <c r="AD580" s="14">
        <f t="shared" si="2341"/>
        <v>19156.413</v>
      </c>
      <c r="AE580" s="14">
        <f t="shared" ref="AE580:AF580" si="2342">IFERROR(AE574+AE575+AE576+AE577+AE578+AE579,"n/a")</f>
        <v>26875.581999999995</v>
      </c>
      <c r="AF580" s="14">
        <f t="shared" si="2342"/>
        <v>33118.008000000009</v>
      </c>
      <c r="AG580" s="14">
        <f t="shared" ref="AG580" si="2343">IFERROR(AG574+AG575+AG576+AG577+AG578+AG579,"n/a")</f>
        <v>37973.551000000007</v>
      </c>
      <c r="AH580" s="14">
        <f t="shared" ref="AH580" si="2344">IFERROR(AH574+AH575+AH576+AH577+AH578+AH579,"n/a")</f>
        <v>29179.800999999999</v>
      </c>
      <c r="AO580" s="14">
        <f t="shared" ref="AO580" si="2345">IFERROR(AO574+AO575+AO576+AO577+AO578+AO579,"n/a")</f>
        <v>-291.976</v>
      </c>
      <c r="AP580" s="14">
        <f t="shared" ref="AP580" si="2346">IFERROR(AP574+AP575+AP576+AP577+AP578+AP579,"n/a")</f>
        <v>-525.11500000000001</v>
      </c>
      <c r="AQ580" s="14">
        <f t="shared" ref="AQ580" si="2347">IFERROR(AQ574+AQ575+AQ576+AQ577+AQ578+AQ579,"n/a")</f>
        <v>-10217.124999999998</v>
      </c>
      <c r="AR580" s="14">
        <f t="shared" ref="AR580" si="2348">IFERROR(AR574+AR575+AR576+AR577+AR578+AR579,"n/a")</f>
        <v>-6996.2789999999995</v>
      </c>
      <c r="AS580" s="14">
        <f t="shared" ref="AS580" si="2349">IFERROR(AS574+AS575+AS576+AS577+AS578+AS579,"n/a")</f>
        <v>-7263.395999999997</v>
      </c>
      <c r="AT580" s="14">
        <f t="shared" ref="AT580" si="2350">IFERROR(AT574+AT575+AT576+AT577+AT578+AT579,"n/a")</f>
        <v>9455.4269999999942</v>
      </c>
      <c r="AU580" s="14">
        <f t="shared" ref="AU580" si="2351">IFERROR(AU574+AU575+AU576+AU577+AU578+AU579,"n/a")</f>
        <v>36419.014000000017</v>
      </c>
      <c r="AV580" s="10">
        <f t="shared" si="2340"/>
        <v>71881.154999999999</v>
      </c>
    </row>
    <row r="581" spans="2:48" x14ac:dyDescent="0.2">
      <c r="B581" t="s">
        <v>19</v>
      </c>
      <c r="H581" s="11">
        <v>0</v>
      </c>
      <c r="I581" s="11">
        <v>0</v>
      </c>
      <c r="J581" s="11">
        <v>0</v>
      </c>
      <c r="K581" s="11">
        <v>0</v>
      </c>
      <c r="L581" s="11">
        <v>0</v>
      </c>
      <c r="M581" s="11">
        <v>0</v>
      </c>
      <c r="N581" s="11">
        <v>0</v>
      </c>
      <c r="O581" s="11">
        <v>0</v>
      </c>
      <c r="P581" s="11">
        <v>0</v>
      </c>
      <c r="Q581" s="11">
        <v>0</v>
      </c>
      <c r="R581" s="11">
        <v>0</v>
      </c>
      <c r="S581" s="11">
        <v>0</v>
      </c>
      <c r="T581" s="11">
        <v>0</v>
      </c>
      <c r="U581" s="11">
        <v>0</v>
      </c>
      <c r="V581" s="11">
        <v>-854.76599999999996</v>
      </c>
      <c r="W581" s="11">
        <v>-1078.819</v>
      </c>
      <c r="X581" s="11">
        <v>-564.81399999999996</v>
      </c>
      <c r="Y581" s="11">
        <v>-1558.0630000000001</v>
      </c>
      <c r="Z581" s="11">
        <v>-1537.1769999999999</v>
      </c>
      <c r="AA581" s="11">
        <v>-1065.6130000000003</v>
      </c>
      <c r="AB581" s="11">
        <v>-1597.7750000000001</v>
      </c>
      <c r="AC581" s="11">
        <v>-3158.442</v>
      </c>
      <c r="AD581" s="11">
        <v>-3513.48</v>
      </c>
      <c r="AE581" s="11">
        <v>-3580.2069999999999</v>
      </c>
      <c r="AF581" s="11">
        <v>-5067.7520000000004</v>
      </c>
      <c r="AG581" s="11">
        <v>-5914.6130000000003</v>
      </c>
      <c r="AH581" s="11">
        <v>-4201.62</v>
      </c>
      <c r="AO581" s="11">
        <v>0</v>
      </c>
      <c r="AP581" s="11">
        <v>0</v>
      </c>
      <c r="AQ581" s="11">
        <v>0</v>
      </c>
      <c r="AR581" s="11">
        <v>0</v>
      </c>
      <c r="AS581" s="11">
        <v>0</v>
      </c>
      <c r="AT581" s="11">
        <v>-1933.585</v>
      </c>
      <c r="AU581" s="11">
        <v>-4725.6670000000004</v>
      </c>
      <c r="AV581" s="10">
        <f t="shared" si="2340"/>
        <v>-11849.904</v>
      </c>
    </row>
    <row r="582" spans="2:48" ht="13.5" x14ac:dyDescent="0.35">
      <c r="B582" t="s">
        <v>20</v>
      </c>
      <c r="H582" s="13">
        <v>0</v>
      </c>
      <c r="I582" s="13">
        <v>0</v>
      </c>
      <c r="J582" s="13">
        <v>0</v>
      </c>
      <c r="K582" s="13">
        <v>0</v>
      </c>
      <c r="L582" s="13">
        <v>0</v>
      </c>
      <c r="M582" s="13">
        <v>0</v>
      </c>
      <c r="N582" s="13">
        <v>-8.218</v>
      </c>
      <c r="O582" s="13">
        <v>36.893999999999998</v>
      </c>
      <c r="P582" s="13">
        <v>-0.08</v>
      </c>
      <c r="Q582" s="13">
        <v>0.26400000000000001</v>
      </c>
      <c r="R582" s="13">
        <v>35.457999999999998</v>
      </c>
      <c r="S582" s="13">
        <v>48.012</v>
      </c>
      <c r="T582" s="13">
        <v>146.50899999999999</v>
      </c>
      <c r="U582" s="13">
        <v>-1.3720000000000001</v>
      </c>
      <c r="V582" s="13">
        <v>85.010999999999996</v>
      </c>
      <c r="W582" s="13">
        <v>16.680000000000035</v>
      </c>
      <c r="X582" s="13">
        <v>-33.616</v>
      </c>
      <c r="Y582" s="13">
        <v>-53.493000000000002</v>
      </c>
      <c r="Z582" s="13">
        <v>10.731999999999999</v>
      </c>
      <c r="AA582" s="13">
        <v>-78.907999999999987</v>
      </c>
      <c r="AB582" s="13">
        <v>106.389</v>
      </c>
      <c r="AC582" s="13">
        <v>9.7810000000000006</v>
      </c>
      <c r="AD582" s="13">
        <v>-105.81100000000001</v>
      </c>
      <c r="AE582" s="13">
        <v>-15.066000000000001</v>
      </c>
      <c r="AF582" s="13">
        <v>-52.43</v>
      </c>
      <c r="AG582" s="13">
        <v>-49.582999999999998</v>
      </c>
      <c r="AH582" s="13">
        <v>2.5129999999999999</v>
      </c>
      <c r="AI582" s="16"/>
      <c r="AJ582" s="16"/>
      <c r="AK582" s="16"/>
      <c r="AL582" s="16"/>
      <c r="AM582" s="16"/>
      <c r="AN582" s="16"/>
      <c r="AO582" s="13">
        <v>0</v>
      </c>
      <c r="AP582" s="13">
        <v>0</v>
      </c>
      <c r="AQ582" s="13">
        <v>0</v>
      </c>
      <c r="AR582" s="13">
        <v>28.675999999999998</v>
      </c>
      <c r="AS582" s="13">
        <v>83.653999999999996</v>
      </c>
      <c r="AT582" s="13">
        <v>246.828</v>
      </c>
      <c r="AU582" s="13">
        <v>-155.285</v>
      </c>
      <c r="AV582" s="25">
        <f t="shared" si="2340"/>
        <v>-4.7070000000000061</v>
      </c>
    </row>
    <row r="583" spans="2:48" x14ac:dyDescent="0.2">
      <c r="B583" s="4" t="s">
        <v>21</v>
      </c>
      <c r="H583" s="14">
        <f>IFERROR(H580+H581+H582,"n/a")</f>
        <v>-201.02100000000024</v>
      </c>
      <c r="I583" s="14">
        <f t="shared" ref="I583:AD583" si="2352">IFERROR(I580+I581+I582,"n/a")</f>
        <v>-6493.8879999999999</v>
      </c>
      <c r="J583" s="14">
        <f t="shared" si="2352"/>
        <v>-1098.3229999999994</v>
      </c>
      <c r="K583" s="14">
        <f t="shared" si="2352"/>
        <v>-2423.8929999999996</v>
      </c>
      <c r="L583" s="14">
        <f t="shared" si="2352"/>
        <v>-1877.7080000000001</v>
      </c>
      <c r="M583" s="14">
        <f t="shared" si="2352"/>
        <v>-1003.2500000000005</v>
      </c>
      <c r="N583" s="14">
        <f t="shared" si="2352"/>
        <v>-2335.0079999999994</v>
      </c>
      <c r="O583" s="14">
        <f t="shared" si="2352"/>
        <v>-1751.6370000000002</v>
      </c>
      <c r="P583" s="14">
        <f t="shared" si="2352"/>
        <v>-4119.3289999999997</v>
      </c>
      <c r="Q583" s="14">
        <f t="shared" si="2352"/>
        <v>-899.34900000000039</v>
      </c>
      <c r="R583" s="14">
        <f t="shared" si="2352"/>
        <v>-784.70800000000304</v>
      </c>
      <c r="S583" s="14">
        <f t="shared" si="2352"/>
        <v>-1376.3559999999973</v>
      </c>
      <c r="T583" s="14">
        <f t="shared" si="2352"/>
        <v>-2905.4160000000002</v>
      </c>
      <c r="U583" s="14">
        <f t="shared" si="2352"/>
        <v>2414.5800000000017</v>
      </c>
      <c r="V583" s="14">
        <f t="shared" si="2352"/>
        <v>1639.9599999999987</v>
      </c>
      <c r="W583" s="14">
        <f t="shared" si="2352"/>
        <v>6619.546000000013</v>
      </c>
      <c r="X583" s="14">
        <f t="shared" si="2352"/>
        <v>2599.4509999999991</v>
      </c>
      <c r="Y583" s="14">
        <f t="shared" si="2352"/>
        <v>8896.3399999999983</v>
      </c>
      <c r="Z583" s="14">
        <f t="shared" si="2352"/>
        <v>10588.573999999997</v>
      </c>
      <c r="AA583" s="14">
        <f t="shared" si="2352"/>
        <v>9453.6969999999965</v>
      </c>
      <c r="AB583" s="14">
        <f t="shared" si="2352"/>
        <v>8101.0270000000046</v>
      </c>
      <c r="AC583" s="14">
        <f t="shared" si="2352"/>
        <v>13108.085999999998</v>
      </c>
      <c r="AD583" s="14">
        <f t="shared" si="2352"/>
        <v>15537.122000000001</v>
      </c>
      <c r="AE583" s="14">
        <f t="shared" ref="AE583:AF583" si="2353">IFERROR(AE580+AE581+AE582,"n/a")</f>
        <v>23280.308999999997</v>
      </c>
      <c r="AF583" s="14">
        <f t="shared" si="2353"/>
        <v>27997.826000000008</v>
      </c>
      <c r="AG583" s="14">
        <f t="shared" ref="AG583" si="2354">IFERROR(AG580+AG581+AG582,"n/a")</f>
        <v>32009.355000000007</v>
      </c>
      <c r="AH583" s="14">
        <f t="shared" ref="AH583" si="2355">IFERROR(AH580+AH581+AH582,"n/a")</f>
        <v>24980.694</v>
      </c>
      <c r="AO583" s="14">
        <f t="shared" ref="AO583" si="2356">IFERROR(AO580+AO581+AO582,"n/a")</f>
        <v>-291.976</v>
      </c>
      <c r="AP583" s="14">
        <f t="shared" ref="AP583" si="2357">IFERROR(AP580+AP581+AP582,"n/a")</f>
        <v>-525.11500000000001</v>
      </c>
      <c r="AQ583" s="14">
        <f t="shared" ref="AQ583" si="2358">IFERROR(AQ580+AQ581+AQ582,"n/a")</f>
        <v>-10217.124999999998</v>
      </c>
      <c r="AR583" s="14">
        <f t="shared" ref="AR583" si="2359">IFERROR(AR580+AR581+AR582,"n/a")</f>
        <v>-6967.6029999999992</v>
      </c>
      <c r="AS583" s="14">
        <f t="shared" ref="AS583" si="2360">IFERROR(AS580+AS581+AS582,"n/a")</f>
        <v>-7179.7419999999966</v>
      </c>
      <c r="AT583" s="14">
        <f t="shared" ref="AT583" si="2361">IFERROR(AT580+AT581+AT582,"n/a")</f>
        <v>7768.6699999999946</v>
      </c>
      <c r="AU583" s="14">
        <f t="shared" ref="AU583" si="2362">IFERROR(AU580+AU581+AU582,"n/a")</f>
        <v>31538.062000000016</v>
      </c>
      <c r="AV583" s="10">
        <f t="shared" si="2340"/>
        <v>60026.543999999994</v>
      </c>
    </row>
    <row r="584" spans="2:48" x14ac:dyDescent="0.2">
      <c r="B584" t="s">
        <v>22</v>
      </c>
      <c r="H584" s="11">
        <v>-80.495999999999995</v>
      </c>
      <c r="I584" s="11">
        <v>0</v>
      </c>
      <c r="J584" s="11">
        <v>0</v>
      </c>
      <c r="K584" s="11">
        <v>0</v>
      </c>
      <c r="L584" s="11">
        <v>0</v>
      </c>
      <c r="M584" s="11">
        <v>0</v>
      </c>
      <c r="N584" s="11">
        <v>0</v>
      </c>
      <c r="O584" s="11">
        <v>0</v>
      </c>
      <c r="P584" s="11">
        <v>0</v>
      </c>
      <c r="Q584" s="11">
        <v>0</v>
      </c>
      <c r="R584" s="11">
        <v>0</v>
      </c>
      <c r="S584" s="11">
        <v>0</v>
      </c>
      <c r="T584" s="11">
        <v>0</v>
      </c>
      <c r="U584" s="11">
        <v>0</v>
      </c>
      <c r="V584" s="11">
        <v>0</v>
      </c>
      <c r="W584" s="11">
        <v>0</v>
      </c>
      <c r="X584" s="11">
        <v>0</v>
      </c>
      <c r="Y584" s="11">
        <v>0</v>
      </c>
      <c r="Z584" s="11">
        <v>0</v>
      </c>
      <c r="AA584" s="11">
        <v>0</v>
      </c>
      <c r="AB584" s="11">
        <v>0</v>
      </c>
      <c r="AC584" s="11">
        <v>0</v>
      </c>
      <c r="AD584" s="11">
        <v>0</v>
      </c>
      <c r="AE584" s="11">
        <v>0</v>
      </c>
      <c r="AF584" s="11">
        <v>0</v>
      </c>
      <c r="AG584" s="11">
        <v>0</v>
      </c>
      <c r="AH584" s="11">
        <v>0</v>
      </c>
      <c r="AO584" s="11">
        <v>-30.43</v>
      </c>
      <c r="AP584" s="11">
        <v>0</v>
      </c>
      <c r="AQ584" s="11">
        <v>-80.495999999999995</v>
      </c>
      <c r="AR584" s="11">
        <v>0</v>
      </c>
      <c r="AS584" s="11">
        <v>0</v>
      </c>
      <c r="AT584" s="11">
        <v>0</v>
      </c>
      <c r="AU584" s="11">
        <v>0</v>
      </c>
      <c r="AV584" s="10">
        <f t="shared" si="2340"/>
        <v>0</v>
      </c>
    </row>
    <row r="585" spans="2:48" ht="13.5" x14ac:dyDescent="0.35">
      <c r="B585" t="s">
        <v>23</v>
      </c>
      <c r="H585" s="13">
        <v>0</v>
      </c>
      <c r="I585" s="13">
        <v>0</v>
      </c>
      <c r="J585" s="13">
        <v>0</v>
      </c>
      <c r="K585" s="13">
        <v>0</v>
      </c>
      <c r="L585" s="13">
        <v>0</v>
      </c>
      <c r="M585" s="13">
        <v>0</v>
      </c>
      <c r="N585" s="13">
        <v>0</v>
      </c>
      <c r="O585" s="13">
        <v>0</v>
      </c>
      <c r="P585" s="13">
        <v>0</v>
      </c>
      <c r="Q585" s="13">
        <v>0</v>
      </c>
      <c r="R585" s="13">
        <v>0</v>
      </c>
      <c r="S585" s="13">
        <v>0</v>
      </c>
      <c r="T585" s="13">
        <v>0</v>
      </c>
      <c r="U585" s="13">
        <v>0</v>
      </c>
      <c r="V585" s="13">
        <v>0</v>
      </c>
      <c r="W585" s="13">
        <v>0</v>
      </c>
      <c r="X585" s="13">
        <v>0</v>
      </c>
      <c r="Y585" s="13">
        <v>0</v>
      </c>
      <c r="Z585" s="13">
        <v>0</v>
      </c>
      <c r="AA585" s="13">
        <v>0</v>
      </c>
      <c r="AB585" s="13">
        <v>0</v>
      </c>
      <c r="AC585" s="13">
        <v>0</v>
      </c>
      <c r="AD585" s="13">
        <v>0</v>
      </c>
      <c r="AE585" s="13">
        <v>0</v>
      </c>
      <c r="AF585" s="13">
        <v>0</v>
      </c>
      <c r="AG585" s="13">
        <v>0</v>
      </c>
      <c r="AH585" s="13">
        <v>0</v>
      </c>
      <c r="AO585" s="13">
        <v>0</v>
      </c>
      <c r="AP585" s="13">
        <v>26.413</v>
      </c>
      <c r="AQ585" s="13">
        <v>0</v>
      </c>
      <c r="AR585" s="13">
        <v>0</v>
      </c>
      <c r="AS585" s="13">
        <v>0</v>
      </c>
      <c r="AT585" s="13">
        <v>0</v>
      </c>
      <c r="AU585" s="13">
        <v>0</v>
      </c>
      <c r="AV585" s="25">
        <f t="shared" si="2340"/>
        <v>0</v>
      </c>
    </row>
    <row r="586" spans="2:48" x14ac:dyDescent="0.2">
      <c r="B586" s="4" t="s">
        <v>24</v>
      </c>
      <c r="H586" s="14">
        <f>IFERROR(H583+H584+H585,"n/a")</f>
        <v>-281.51700000000022</v>
      </c>
      <c r="I586" s="14">
        <f t="shared" ref="I586:AD586" si="2363">IFERROR(I583+I584+I585,"n/a")</f>
        <v>-6493.8879999999999</v>
      </c>
      <c r="J586" s="14">
        <f t="shared" si="2363"/>
        <v>-1098.3229999999994</v>
      </c>
      <c r="K586" s="14">
        <f t="shared" si="2363"/>
        <v>-2423.8929999999996</v>
      </c>
      <c r="L586" s="14">
        <f t="shared" si="2363"/>
        <v>-1877.7080000000001</v>
      </c>
      <c r="M586" s="14">
        <f t="shared" si="2363"/>
        <v>-1003.2500000000005</v>
      </c>
      <c r="N586" s="14">
        <f t="shared" si="2363"/>
        <v>-2335.0079999999994</v>
      </c>
      <c r="O586" s="14">
        <f t="shared" si="2363"/>
        <v>-1751.6370000000002</v>
      </c>
      <c r="P586" s="14">
        <f t="shared" si="2363"/>
        <v>-4119.3289999999997</v>
      </c>
      <c r="Q586" s="14">
        <f t="shared" si="2363"/>
        <v>-899.34900000000039</v>
      </c>
      <c r="R586" s="14">
        <f t="shared" si="2363"/>
        <v>-784.70800000000304</v>
      </c>
      <c r="S586" s="14">
        <f t="shared" si="2363"/>
        <v>-1376.3559999999973</v>
      </c>
      <c r="T586" s="14">
        <f t="shared" si="2363"/>
        <v>-2905.4160000000002</v>
      </c>
      <c r="U586" s="14">
        <f t="shared" si="2363"/>
        <v>2414.5800000000017</v>
      </c>
      <c r="V586" s="14">
        <f t="shared" si="2363"/>
        <v>1639.9599999999987</v>
      </c>
      <c r="W586" s="14">
        <f t="shared" si="2363"/>
        <v>6619.546000000013</v>
      </c>
      <c r="X586" s="14">
        <f t="shared" si="2363"/>
        <v>2599.4509999999991</v>
      </c>
      <c r="Y586" s="14">
        <f t="shared" si="2363"/>
        <v>8896.3399999999983</v>
      </c>
      <c r="Z586" s="14">
        <f t="shared" si="2363"/>
        <v>10588.573999999997</v>
      </c>
      <c r="AA586" s="14">
        <f t="shared" si="2363"/>
        <v>9453.6969999999965</v>
      </c>
      <c r="AB586" s="14">
        <f t="shared" si="2363"/>
        <v>8101.0270000000046</v>
      </c>
      <c r="AC586" s="14">
        <f t="shared" si="2363"/>
        <v>13108.085999999998</v>
      </c>
      <c r="AD586" s="14">
        <f t="shared" si="2363"/>
        <v>15537.122000000001</v>
      </c>
      <c r="AE586" s="14">
        <f t="shared" ref="AE586:AF586" si="2364">IFERROR(AE583+AE584+AE585,"n/a")</f>
        <v>23280.308999999997</v>
      </c>
      <c r="AF586" s="14">
        <f t="shared" si="2364"/>
        <v>27997.826000000008</v>
      </c>
      <c r="AG586" s="14">
        <f t="shared" ref="AG586" si="2365">IFERROR(AG583+AG584+AG585,"n/a")</f>
        <v>32009.355000000007</v>
      </c>
      <c r="AH586" s="14">
        <f t="shared" ref="AH586" si="2366">IFERROR(AH583+AH584+AH585,"n/a")</f>
        <v>24980.694</v>
      </c>
      <c r="AO586" s="14">
        <f t="shared" ref="AO586" si="2367">IFERROR(AO583+AO584+AO585,"n/a")</f>
        <v>-322.40600000000001</v>
      </c>
      <c r="AP586" s="14">
        <f t="shared" ref="AP586" si="2368">IFERROR(AP583+AP584+AP585,"n/a")</f>
        <v>-498.702</v>
      </c>
      <c r="AQ586" s="14">
        <f t="shared" ref="AQ586" si="2369">IFERROR(AQ583+AQ584+AQ585,"n/a")</f>
        <v>-10297.620999999997</v>
      </c>
      <c r="AR586" s="14">
        <f t="shared" ref="AR586" si="2370">IFERROR(AR583+AR584+AR585,"n/a")</f>
        <v>-6967.6029999999992</v>
      </c>
      <c r="AS586" s="14">
        <f t="shared" ref="AS586" si="2371">IFERROR(AS583+AS584+AS585,"n/a")</f>
        <v>-7179.7419999999966</v>
      </c>
      <c r="AT586" s="14">
        <f t="shared" ref="AT586" si="2372">IFERROR(AT583+AT584+AT585,"n/a")</f>
        <v>7768.6699999999946</v>
      </c>
      <c r="AU586" s="14">
        <f t="shared" ref="AU586" si="2373">IFERROR(AU583+AU584+AU585,"n/a")</f>
        <v>31538.062000000016</v>
      </c>
      <c r="AV586" s="10">
        <f t="shared" si="2340"/>
        <v>60026.543999999994</v>
      </c>
    </row>
    <row r="587" spans="2:48" x14ac:dyDescent="0.2">
      <c r="T587" s="33"/>
      <c r="U587" s="33"/>
      <c r="V587" s="33"/>
      <c r="W587" s="33"/>
      <c r="X587" s="33"/>
      <c r="Y587" s="33"/>
      <c r="Z587" s="33"/>
      <c r="AA587" s="33"/>
      <c r="AB587" s="33"/>
      <c r="AC587" s="33"/>
      <c r="AD587" s="33"/>
      <c r="AT587" s="33"/>
      <c r="AU587" s="33"/>
    </row>
    <row r="588" spans="2:48" x14ac:dyDescent="0.2">
      <c r="B588" t="s">
        <v>62</v>
      </c>
      <c r="H588" s="18" t="str">
        <f t="shared" ref="H588:AD588" si="2374">IFERROR(H586/H595,"n/a")</f>
        <v>n/a</v>
      </c>
      <c r="I588" s="18">
        <f t="shared" si="2374"/>
        <v>-3.3464393198877902</v>
      </c>
      <c r="J588" s="18">
        <f t="shared" si="2374"/>
        <v>-0.29861549337813087</v>
      </c>
      <c r="K588" s="18">
        <f t="shared" si="2374"/>
        <v>-0.5439996305235586</v>
      </c>
      <c r="L588" s="18">
        <f t="shared" si="2374"/>
        <v>-0.41186685638592707</v>
      </c>
      <c r="M588" s="18">
        <f t="shared" si="2374"/>
        <v>-0.21577918492786974</v>
      </c>
      <c r="N588" s="18">
        <f t="shared" si="2374"/>
        <v>-0.50221392777478679</v>
      </c>
      <c r="O588" s="18">
        <f t="shared" si="2374"/>
        <v>-0.37669645307221772</v>
      </c>
      <c r="P588" s="18">
        <f t="shared" si="2374"/>
        <v>-0.88585586755759849</v>
      </c>
      <c r="Q588" s="18">
        <f t="shared" si="2374"/>
        <v>-0.18809941264227739</v>
      </c>
      <c r="R588" s="18">
        <f t="shared" si="2374"/>
        <v>-0.16394959254334748</v>
      </c>
      <c r="S588" s="18">
        <f t="shared" si="2374"/>
        <v>-0.28351601585054276</v>
      </c>
      <c r="T588" s="18">
        <f t="shared" si="2374"/>
        <v>-0.58300361390420052</v>
      </c>
      <c r="U588" s="18">
        <f t="shared" si="2374"/>
        <v>0.48159191119934885</v>
      </c>
      <c r="V588" s="18">
        <f t="shared" si="2374"/>
        <v>0.32660952719329595</v>
      </c>
      <c r="W588" s="18">
        <f t="shared" si="2374"/>
        <v>1.3156095456205013</v>
      </c>
      <c r="X588" s="18">
        <f t="shared" si="2374"/>
        <v>0.51609862980626509</v>
      </c>
      <c r="Y588" s="18">
        <f t="shared" si="2374"/>
        <v>1.7643007311771315</v>
      </c>
      <c r="Z588" s="18">
        <f t="shared" si="2374"/>
        <v>2.0962259683532167</v>
      </c>
      <c r="AA588" s="18">
        <f t="shared" si="2374"/>
        <v>1.853979437308815</v>
      </c>
      <c r="AB588" s="18">
        <f t="shared" si="2374"/>
        <v>1.5334954341702767</v>
      </c>
      <c r="AC588" s="18">
        <f t="shared" si="2374"/>
        <v>2.4102861984622659</v>
      </c>
      <c r="AD588" s="18">
        <f t="shared" si="2374"/>
        <v>2.8443025243558768</v>
      </c>
      <c r="AE588" s="18">
        <f t="shared" ref="AE588:AF588" si="2375">IFERROR(AE586/AE595,"n/a")</f>
        <v>4.249696473839248</v>
      </c>
      <c r="AF588" s="18">
        <f t="shared" si="2375"/>
        <v>5.0815684099372724</v>
      </c>
      <c r="AG588" s="18">
        <f t="shared" ref="AG588" si="2376">IFERROR(AG586/AG595,"n/a")</f>
        <v>5.7843395383566731</v>
      </c>
      <c r="AH588" s="18">
        <f t="shared" ref="AH588" si="2377">IFERROR(AH586/AH595,"n/a")</f>
        <v>4.5061954858844375</v>
      </c>
      <c r="AO588" s="18" t="str">
        <f t="shared" ref="AO588:AU588" si="2378">IFERROR(AO586/AO595,"n/a")</f>
        <v>n/a</v>
      </c>
      <c r="AP588" s="18" t="str">
        <f t="shared" si="2378"/>
        <v>n/a</v>
      </c>
      <c r="AQ588" s="18">
        <f t="shared" si="2378"/>
        <v>-3.4691753465253341</v>
      </c>
      <c r="AR588" s="18">
        <f t="shared" si="2378"/>
        <v>-1.5057671054127284</v>
      </c>
      <c r="AS588" s="18">
        <f t="shared" si="2378"/>
        <v>-1.5057100548345614</v>
      </c>
      <c r="AT588" s="18">
        <f t="shared" si="2378"/>
        <v>1.5498125607313573</v>
      </c>
      <c r="AU588" s="18">
        <f t="shared" si="2378"/>
        <v>6.235850082600356</v>
      </c>
      <c r="AV588" s="18">
        <f t="shared" ref="AV588" si="2379">IFERROR(AV586/AV595,"n/a")</f>
        <v>11.08297068041135</v>
      </c>
    </row>
    <row r="589" spans="2:48" x14ac:dyDescent="0.2">
      <c r="B589" t="s">
        <v>63</v>
      </c>
      <c r="H589" s="18" t="str">
        <f t="shared" ref="H589:AD589" si="2380">IFERROR(H586/H596,"n/a")</f>
        <v>n/a</v>
      </c>
      <c r="I589" s="18">
        <f t="shared" si="2380"/>
        <v>-3.3464393198877902</v>
      </c>
      <c r="J589" s="18">
        <f t="shared" si="2380"/>
        <v>-0.29861549337813087</v>
      </c>
      <c r="K589" s="18">
        <f t="shared" si="2380"/>
        <v>-0.5439996305235586</v>
      </c>
      <c r="L589" s="18">
        <f t="shared" si="2380"/>
        <v>-0.41186685638592707</v>
      </c>
      <c r="M589" s="18">
        <f t="shared" si="2380"/>
        <v>-0.21577918492786974</v>
      </c>
      <c r="N589" s="18">
        <f t="shared" si="2380"/>
        <v>-0.50221392777478679</v>
      </c>
      <c r="O589" s="18">
        <f t="shared" si="2380"/>
        <v>-0.37669645307221772</v>
      </c>
      <c r="P589" s="18">
        <f t="shared" si="2380"/>
        <v>-0.88585586755759849</v>
      </c>
      <c r="Q589" s="18">
        <f t="shared" si="2380"/>
        <v>-0.18809941264227739</v>
      </c>
      <c r="R589" s="18">
        <f t="shared" si="2380"/>
        <v>-0.16394959254334748</v>
      </c>
      <c r="S589" s="18">
        <f t="shared" si="2380"/>
        <v>-0.28351601585054276</v>
      </c>
      <c r="T589" s="18">
        <f t="shared" si="2380"/>
        <v>-0.58300361390420052</v>
      </c>
      <c r="U589" s="18">
        <f t="shared" si="2380"/>
        <v>0.42217350695055211</v>
      </c>
      <c r="V589" s="18">
        <f t="shared" si="2380"/>
        <v>0.28751122460679229</v>
      </c>
      <c r="W589" s="18">
        <f t="shared" si="2380"/>
        <v>1.1644705860415459</v>
      </c>
      <c r="X589" s="18">
        <f t="shared" si="2380"/>
        <v>0.45699860093732614</v>
      </c>
      <c r="Y589" s="18">
        <f t="shared" si="2380"/>
        <v>1.5561347691346445</v>
      </c>
      <c r="Z589" s="18">
        <f t="shared" si="2380"/>
        <v>1.8331495031738181</v>
      </c>
      <c r="AA589" s="18">
        <f t="shared" si="2380"/>
        <v>1.6273630571581819</v>
      </c>
      <c r="AB589" s="18">
        <f t="shared" si="2380"/>
        <v>1.3847014671530635</v>
      </c>
      <c r="AC589" s="18">
        <f t="shared" si="2380"/>
        <v>2.2470948073044843</v>
      </c>
      <c r="AD589" s="18">
        <f t="shared" si="2380"/>
        <v>2.6490795897496757</v>
      </c>
      <c r="AE589" s="18">
        <f t="shared" ref="AE589:AF589" si="2381">IFERROR(AE586/AE596,"n/a")</f>
        <v>3.9572306892085303</v>
      </c>
      <c r="AF589" s="18">
        <f t="shared" si="2381"/>
        <v>4.7397539301113047</v>
      </c>
      <c r="AG589" s="18">
        <f t="shared" ref="AG589" si="2382">IFERROR(AG586/AG596,"n/a")</f>
        <v>5.4018219745685681</v>
      </c>
      <c r="AH589" s="18">
        <f t="shared" ref="AH589" si="2383">IFERROR(AH586/AH596,"n/a")</f>
        <v>4.2269998289280188</v>
      </c>
      <c r="AO589" s="18" t="str">
        <f t="shared" ref="AO589:AU589" si="2384">IFERROR(AO586/AO596,"n/a")</f>
        <v>n/a</v>
      </c>
      <c r="AP589" s="18" t="str">
        <f t="shared" si="2384"/>
        <v>n/a</v>
      </c>
      <c r="AQ589" s="18">
        <f t="shared" si="2384"/>
        <v>-3.4691753465253341</v>
      </c>
      <c r="AR589" s="18">
        <f t="shared" si="2384"/>
        <v>-1.5057671054127284</v>
      </c>
      <c r="AS589" s="18">
        <f t="shared" si="2384"/>
        <v>-1.5057100548345614</v>
      </c>
      <c r="AT589" s="18">
        <f t="shared" si="2384"/>
        <v>1.3596413145846633</v>
      </c>
      <c r="AU589" s="18">
        <f t="shared" si="2384"/>
        <v>5.4741306413539377</v>
      </c>
      <c r="AV589" s="18">
        <f t="shared" ref="AV589" si="2385">IFERROR(AV586/AV596,"n/a")</f>
        <v>10.279169056943674</v>
      </c>
    </row>
    <row r="590" spans="2:48" x14ac:dyDescent="0.2">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O590" s="18"/>
      <c r="AP590" s="18"/>
      <c r="AQ590" s="18"/>
      <c r="AR590" s="18"/>
      <c r="AS590" s="18"/>
      <c r="AT590" s="18"/>
      <c r="AU590" s="18"/>
      <c r="AV590" s="18"/>
    </row>
    <row r="591" spans="2:48" x14ac:dyDescent="0.2">
      <c r="B591" s="19" t="s">
        <v>65</v>
      </c>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O591" s="18"/>
      <c r="AP591" s="18"/>
      <c r="AQ591" s="18"/>
      <c r="AR591" s="18"/>
      <c r="AS591" s="18"/>
      <c r="AT591" s="18"/>
      <c r="AU591" s="18"/>
      <c r="AV591" s="18"/>
    </row>
    <row r="592" spans="2:48" s="3" customFormat="1" x14ac:dyDescent="0.2">
      <c r="B592" s="20" t="s">
        <v>262</v>
      </c>
      <c r="H592" s="21" t="str">
        <f>IFERROR(H586/H599,"n/a")</f>
        <v>n/a</v>
      </c>
      <c r="I592" s="21">
        <f t="shared" ref="I592:AD592" si="2386">IFERROR(I586/I599,"n/a")</f>
        <v>-13.385757279551161</v>
      </c>
      <c r="J592" s="21">
        <f t="shared" si="2386"/>
        <v>-1.1944619735125235</v>
      </c>
      <c r="K592" s="21">
        <f t="shared" si="2386"/>
        <v>-2.1759985220942344</v>
      </c>
      <c r="L592" s="21">
        <f t="shared" si="2386"/>
        <v>-1.6474674255437083</v>
      </c>
      <c r="M592" s="21">
        <f t="shared" si="2386"/>
        <v>-0.86311673971147895</v>
      </c>
      <c r="N592" s="21">
        <f t="shared" si="2386"/>
        <v>-2.0088557110991472</v>
      </c>
      <c r="O592" s="21">
        <f t="shared" si="2386"/>
        <v>-1.5067858122888709</v>
      </c>
      <c r="P592" s="21">
        <f t="shared" si="2386"/>
        <v>-3.5434234702303939</v>
      </c>
      <c r="Q592" s="21">
        <f t="shared" si="2386"/>
        <v>-0.75239765056910957</v>
      </c>
      <c r="R592" s="21">
        <f t="shared" si="2386"/>
        <v>-0.65579837017338993</v>
      </c>
      <c r="S592" s="21">
        <f t="shared" si="2386"/>
        <v>-1.134064063402171</v>
      </c>
      <c r="T592" s="21">
        <f t="shared" si="2386"/>
        <v>-2.3320144556168021</v>
      </c>
      <c r="U592" s="21">
        <f t="shared" si="2386"/>
        <v>1.9263676447973954</v>
      </c>
      <c r="V592" s="21">
        <f t="shared" si="2386"/>
        <v>1.3064381087731838</v>
      </c>
      <c r="W592" s="21">
        <f t="shared" si="2386"/>
        <v>5.262438182482005</v>
      </c>
      <c r="X592" s="21">
        <f t="shared" si="2386"/>
        <v>2.0643945192250603</v>
      </c>
      <c r="Y592" s="21">
        <f t="shared" si="2386"/>
        <v>7.0572029247085259</v>
      </c>
      <c r="Z592" s="21">
        <f t="shared" si="2386"/>
        <v>8.3849038734128669</v>
      </c>
      <c r="AA592" s="21">
        <f t="shared" si="2386"/>
        <v>7.4159177492352599</v>
      </c>
      <c r="AB592" s="21">
        <f t="shared" si="2386"/>
        <v>6.1339817366811067</v>
      </c>
      <c r="AC592" s="21">
        <f t="shared" si="2386"/>
        <v>9.6411447938490635</v>
      </c>
      <c r="AD592" s="21">
        <f t="shared" si="2386"/>
        <v>11.377210097423507</v>
      </c>
      <c r="AE592" s="21">
        <f t="shared" ref="AE592:AF592" si="2387">IFERROR(AE586/AE599,"n/a")</f>
        <v>16.998785895356992</v>
      </c>
      <c r="AF592" s="21">
        <f t="shared" si="2387"/>
        <v>20.32627363974909</v>
      </c>
      <c r="AG592" s="21">
        <f t="shared" ref="AG592" si="2388">IFERROR(AG586/AG599,"n/a")</f>
        <v>23.137358153426693</v>
      </c>
      <c r="AH592" s="21">
        <f t="shared" ref="AH592" si="2389">IFERROR(AH586/AH599,"n/a")</f>
        <v>18.02478194353775</v>
      </c>
      <c r="AO592" s="21" t="str">
        <f t="shared" ref="AO592:AU592" si="2390">IFERROR(AO586/AO599,"n/a")</f>
        <v>n/a</v>
      </c>
      <c r="AP592" s="21" t="str">
        <f t="shared" si="2390"/>
        <v>n/a</v>
      </c>
      <c r="AQ592" s="21">
        <f t="shared" si="2390"/>
        <v>-13.876701386101336</v>
      </c>
      <c r="AR592" s="21">
        <f t="shared" si="2390"/>
        <v>-6.0230684216509136</v>
      </c>
      <c r="AS592" s="21">
        <f t="shared" si="2390"/>
        <v>-6.0228402193382458</v>
      </c>
      <c r="AT592" s="21">
        <f t="shared" si="2390"/>
        <v>6.1992502429254293</v>
      </c>
      <c r="AU592" s="21">
        <f t="shared" si="2390"/>
        <v>24.943400330401424</v>
      </c>
      <c r="AV592" s="21">
        <f t="shared" ref="AV592" si="2391">IFERROR(AV586/AV599,"n/a")</f>
        <v>44.3318827216454</v>
      </c>
    </row>
    <row r="593" spans="2:48" s="3" customFormat="1" x14ac:dyDescent="0.2">
      <c r="B593" s="20" t="s">
        <v>263</v>
      </c>
      <c r="H593" s="21" t="str">
        <f>IFERROR(H586/H600,"n/a")</f>
        <v>n/a</v>
      </c>
      <c r="I593" s="21">
        <f t="shared" ref="I593:AD593" si="2392">IFERROR(I586/I600,"n/a")</f>
        <v>-13.385757279551161</v>
      </c>
      <c r="J593" s="21">
        <f t="shared" si="2392"/>
        <v>-1.1944619735125235</v>
      </c>
      <c r="K593" s="21">
        <f t="shared" si="2392"/>
        <v>-2.1759985220942344</v>
      </c>
      <c r="L593" s="21">
        <f t="shared" si="2392"/>
        <v>-1.6474674255437083</v>
      </c>
      <c r="M593" s="21">
        <f t="shared" si="2392"/>
        <v>-0.86311673971147895</v>
      </c>
      <c r="N593" s="21">
        <f t="shared" si="2392"/>
        <v>-2.0088557110991472</v>
      </c>
      <c r="O593" s="21">
        <f t="shared" si="2392"/>
        <v>-1.5067858122888709</v>
      </c>
      <c r="P593" s="21">
        <f t="shared" si="2392"/>
        <v>-3.5434234702303939</v>
      </c>
      <c r="Q593" s="21">
        <f t="shared" si="2392"/>
        <v>-0.75239765056910957</v>
      </c>
      <c r="R593" s="21">
        <f t="shared" si="2392"/>
        <v>-0.65579837017338993</v>
      </c>
      <c r="S593" s="21">
        <f t="shared" si="2392"/>
        <v>-1.134064063402171</v>
      </c>
      <c r="T593" s="21">
        <f t="shared" si="2392"/>
        <v>-2.3320144556168021</v>
      </c>
      <c r="U593" s="21">
        <f t="shared" si="2392"/>
        <v>1.6886940278022085</v>
      </c>
      <c r="V593" s="21">
        <f t="shared" si="2392"/>
        <v>1.1500448984271692</v>
      </c>
      <c r="W593" s="21">
        <f t="shared" si="2392"/>
        <v>4.6578823441661834</v>
      </c>
      <c r="X593" s="21">
        <f t="shared" si="2392"/>
        <v>1.8279944037493046</v>
      </c>
      <c r="Y593" s="21">
        <f t="shared" si="2392"/>
        <v>6.2245390765385782</v>
      </c>
      <c r="Z593" s="21">
        <f t="shared" si="2392"/>
        <v>7.3325980126952723</v>
      </c>
      <c r="AA593" s="21">
        <f t="shared" si="2392"/>
        <v>6.5094522286327274</v>
      </c>
      <c r="AB593" s="21">
        <f t="shared" si="2392"/>
        <v>5.5388058686122541</v>
      </c>
      <c r="AC593" s="21">
        <f t="shared" si="2392"/>
        <v>8.9883792292179372</v>
      </c>
      <c r="AD593" s="21">
        <f t="shared" si="2392"/>
        <v>10.596318358998703</v>
      </c>
      <c r="AE593" s="21">
        <f t="shared" ref="AE593:AF593" si="2393">IFERROR(AE586/AE600,"n/a")</f>
        <v>15.828922756834121</v>
      </c>
      <c r="AF593" s="21">
        <f t="shared" si="2393"/>
        <v>18.959015720445219</v>
      </c>
      <c r="AG593" s="21">
        <f t="shared" ref="AG593" si="2394">IFERROR(AG586/AG600,"n/a")</f>
        <v>21.607287898274272</v>
      </c>
      <c r="AH593" s="21">
        <f t="shared" ref="AH593" si="2395">IFERROR(AH586/AH600,"n/a")</f>
        <v>16.907999315712075</v>
      </c>
      <c r="AO593" s="21" t="str">
        <f t="shared" ref="AO593:AU593" si="2396">IFERROR(AO586/AO600,"n/a")</f>
        <v>n/a</v>
      </c>
      <c r="AP593" s="21" t="str">
        <f t="shared" si="2396"/>
        <v>n/a</v>
      </c>
      <c r="AQ593" s="21">
        <f t="shared" si="2396"/>
        <v>-13.876701386101336</v>
      </c>
      <c r="AR593" s="21">
        <f t="shared" si="2396"/>
        <v>-6.0230684216509136</v>
      </c>
      <c r="AS593" s="21">
        <f t="shared" si="2396"/>
        <v>-6.0228402193382458</v>
      </c>
      <c r="AT593" s="21">
        <f t="shared" si="2396"/>
        <v>5.4385652583386532</v>
      </c>
      <c r="AU593" s="21">
        <f t="shared" si="2396"/>
        <v>21.896522565415751</v>
      </c>
      <c r="AV593" s="21">
        <f t="shared" ref="AV593" si="2397">IFERROR(AV586/AV600,"n/a")</f>
        <v>41.116676227774697</v>
      </c>
    </row>
    <row r="595" spans="2:48" x14ac:dyDescent="0.2">
      <c r="B595" t="s">
        <v>60</v>
      </c>
      <c r="H595" s="12" t="s">
        <v>64</v>
      </c>
      <c r="I595" s="11">
        <v>1940.5366059999999</v>
      </c>
      <c r="J595" s="11">
        <v>3678.0509529999999</v>
      </c>
      <c r="K595" s="11">
        <v>4455.6886880000002</v>
      </c>
      <c r="L595" s="11">
        <v>4559.0169999999998</v>
      </c>
      <c r="M595" s="11">
        <v>4649.4290000000001</v>
      </c>
      <c r="N595" s="11">
        <v>4649.4290000000001</v>
      </c>
      <c r="O595" s="11">
        <v>4649.9960000000001</v>
      </c>
      <c r="P595" s="11">
        <v>4650.1120000000001</v>
      </c>
      <c r="Q595" s="11">
        <v>4781.2430000000004</v>
      </c>
      <c r="R595" s="11">
        <v>4786.2759999999998</v>
      </c>
      <c r="S595" s="11">
        <v>4854.5969999999998</v>
      </c>
      <c r="T595" s="11">
        <v>4983.53</v>
      </c>
      <c r="U595" s="11">
        <v>5013.7470000000003</v>
      </c>
      <c r="V595" s="11">
        <v>5021.1639999999998</v>
      </c>
      <c r="W595" s="11">
        <v>5031.5429999999997</v>
      </c>
      <c r="X595" s="11">
        <v>5036.7330000000002</v>
      </c>
      <c r="Y595" s="11">
        <v>5042.4170000000004</v>
      </c>
      <c r="Z595" s="11">
        <v>5051.2560000000003</v>
      </c>
      <c r="AA595" s="11">
        <v>5099.1379999999999</v>
      </c>
      <c r="AB595" s="11">
        <v>5282.72</v>
      </c>
      <c r="AC595" s="11">
        <v>5438.3940000000002</v>
      </c>
      <c r="AD595" s="11">
        <v>5462.5420000000004</v>
      </c>
      <c r="AE595" s="11">
        <v>5478.1109999999999</v>
      </c>
      <c r="AF595" s="11">
        <v>5509.6819999999998</v>
      </c>
      <c r="AG595" s="11">
        <v>5533.7960000000003</v>
      </c>
      <c r="AH595" s="11">
        <v>5543.6329999999998</v>
      </c>
      <c r="AO595" s="12" t="s">
        <v>64</v>
      </c>
      <c r="AP595" s="12" t="s">
        <v>64</v>
      </c>
      <c r="AQ595" s="11">
        <v>2968.3195489999998</v>
      </c>
      <c r="AR595" s="11">
        <v>4627.2780000000002</v>
      </c>
      <c r="AS595" s="11">
        <v>4768.3429999999998</v>
      </c>
      <c r="AT595" s="11">
        <v>5012.6513340000001</v>
      </c>
      <c r="AU595" s="11">
        <v>5057.5401240000001</v>
      </c>
      <c r="AV595" s="11">
        <v>5416.1059999999998</v>
      </c>
    </row>
    <row r="596" spans="2:48" x14ac:dyDescent="0.2">
      <c r="B596" t="s">
        <v>61</v>
      </c>
      <c r="H596" s="12" t="s">
        <v>64</v>
      </c>
      <c r="I596" s="11">
        <v>1940.5366059999999</v>
      </c>
      <c r="J596" s="11">
        <v>3678.0509529999999</v>
      </c>
      <c r="K596" s="11">
        <v>4455.6886880000002</v>
      </c>
      <c r="L596" s="11">
        <v>4559.0169999999998</v>
      </c>
      <c r="M596" s="11">
        <v>4649.4290000000001</v>
      </c>
      <c r="N596" s="11">
        <v>4649.4290000000001</v>
      </c>
      <c r="O596" s="11">
        <v>4649.9960000000001</v>
      </c>
      <c r="P596" s="11">
        <v>4650.1120000000001</v>
      </c>
      <c r="Q596" s="11">
        <v>4781.2430000000004</v>
      </c>
      <c r="R596" s="11">
        <v>4786.2759999999998</v>
      </c>
      <c r="S596" s="11">
        <v>4854.5969999999998</v>
      </c>
      <c r="T596" s="11">
        <v>4983.53</v>
      </c>
      <c r="U596" s="11">
        <v>5719.402</v>
      </c>
      <c r="V596" s="11">
        <v>5703.9859999999999</v>
      </c>
      <c r="W596" s="11">
        <v>5684.5969999999998</v>
      </c>
      <c r="X596" s="11">
        <v>5688.0940000000001</v>
      </c>
      <c r="Y596" s="11">
        <v>5716.9470000000001</v>
      </c>
      <c r="Z596" s="11">
        <v>5776.165</v>
      </c>
      <c r="AA596" s="11">
        <v>5809.2120000000004</v>
      </c>
      <c r="AB596" s="11">
        <v>5850.3779999999997</v>
      </c>
      <c r="AC596" s="11">
        <v>5833.348</v>
      </c>
      <c r="AD596" s="11">
        <v>5865.1019999999999</v>
      </c>
      <c r="AE596" s="11">
        <v>5882.98</v>
      </c>
      <c r="AF596" s="11">
        <v>5907.0209999999997</v>
      </c>
      <c r="AG596" s="11">
        <v>5925.6589999999997</v>
      </c>
      <c r="AH596" s="11">
        <v>5909.7929999999997</v>
      </c>
      <c r="AO596" s="12" t="s">
        <v>64</v>
      </c>
      <c r="AP596" s="12" t="s">
        <v>64</v>
      </c>
      <c r="AQ596" s="11">
        <v>2968.3195489999998</v>
      </c>
      <c r="AR596" s="11">
        <v>4627.2780000000002</v>
      </c>
      <c r="AS596" s="11">
        <v>4768.3429999999998</v>
      </c>
      <c r="AT596" s="11">
        <v>5713.7642969999997</v>
      </c>
      <c r="AU596" s="11">
        <v>5761.2914389999996</v>
      </c>
      <c r="AV596" s="11">
        <v>5839.63</v>
      </c>
    </row>
    <row r="597" spans="2:48" x14ac:dyDescent="0.2">
      <c r="H597" s="12"/>
      <c r="I597" s="11"/>
      <c r="J597" s="11"/>
      <c r="K597" s="11"/>
      <c r="L597" s="268"/>
      <c r="M597" s="268"/>
      <c r="N597" s="268"/>
      <c r="O597" s="268"/>
      <c r="P597" s="268"/>
      <c r="Q597" s="268"/>
      <c r="R597" s="268"/>
      <c r="S597" s="268"/>
      <c r="T597" s="268"/>
      <c r="U597" s="268"/>
      <c r="V597" s="268"/>
      <c r="W597" s="268"/>
      <c r="X597" s="268"/>
      <c r="Y597" s="268"/>
      <c r="Z597" s="268"/>
      <c r="AA597" s="268"/>
      <c r="AB597" s="268"/>
      <c r="AC597" s="268"/>
      <c r="AD597" s="268"/>
      <c r="AE597" s="268"/>
      <c r="AF597" s="268"/>
      <c r="AG597" s="268"/>
      <c r="AH597" s="268"/>
      <c r="AO597" s="12"/>
      <c r="AP597" s="12"/>
      <c r="AQ597" s="11"/>
      <c r="AR597" s="11"/>
      <c r="AS597" s="11"/>
      <c r="AT597" s="11"/>
      <c r="AU597" s="11"/>
    </row>
    <row r="598" spans="2:48" x14ac:dyDescent="0.2">
      <c r="B598" s="19" t="s">
        <v>65</v>
      </c>
    </row>
    <row r="599" spans="2:48" s="3" customFormat="1" x14ac:dyDescent="0.2">
      <c r="B599" s="20" t="s">
        <v>264</v>
      </c>
      <c r="H599" s="22" t="str">
        <f>+IFERROR(H595/4,"n/a")</f>
        <v>n/a</v>
      </c>
      <c r="I599" s="22">
        <f t="shared" ref="I599:AD599" si="2398">+IFERROR(I595/4,"n/a")</f>
        <v>485.13415149999997</v>
      </c>
      <c r="J599" s="22">
        <f t="shared" si="2398"/>
        <v>919.51273824999998</v>
      </c>
      <c r="K599" s="22">
        <f t="shared" si="2398"/>
        <v>1113.922172</v>
      </c>
      <c r="L599" s="22">
        <f t="shared" si="2398"/>
        <v>1139.75425</v>
      </c>
      <c r="M599" s="22">
        <f t="shared" si="2398"/>
        <v>1162.35725</v>
      </c>
      <c r="N599" s="22">
        <f t="shared" si="2398"/>
        <v>1162.35725</v>
      </c>
      <c r="O599" s="22">
        <f t="shared" si="2398"/>
        <v>1162.499</v>
      </c>
      <c r="P599" s="22">
        <f t="shared" si="2398"/>
        <v>1162.528</v>
      </c>
      <c r="Q599" s="22">
        <f t="shared" si="2398"/>
        <v>1195.3107500000001</v>
      </c>
      <c r="R599" s="22">
        <f t="shared" si="2398"/>
        <v>1196.569</v>
      </c>
      <c r="S599" s="22">
        <f t="shared" si="2398"/>
        <v>1213.6492499999999</v>
      </c>
      <c r="T599" s="22">
        <f t="shared" si="2398"/>
        <v>1245.8824999999999</v>
      </c>
      <c r="U599" s="22">
        <f t="shared" si="2398"/>
        <v>1253.4367500000001</v>
      </c>
      <c r="V599" s="22">
        <f t="shared" si="2398"/>
        <v>1255.2909999999999</v>
      </c>
      <c r="W599" s="22">
        <f t="shared" si="2398"/>
        <v>1257.8857499999999</v>
      </c>
      <c r="X599" s="22">
        <f t="shared" si="2398"/>
        <v>1259.18325</v>
      </c>
      <c r="Y599" s="22">
        <f t="shared" si="2398"/>
        <v>1260.6042500000001</v>
      </c>
      <c r="Z599" s="22">
        <f t="shared" si="2398"/>
        <v>1262.8140000000001</v>
      </c>
      <c r="AA599" s="22">
        <f t="shared" si="2398"/>
        <v>1274.7845</v>
      </c>
      <c r="AB599" s="22">
        <f t="shared" si="2398"/>
        <v>1320.68</v>
      </c>
      <c r="AC599" s="22">
        <f t="shared" si="2398"/>
        <v>1359.5985000000001</v>
      </c>
      <c r="AD599" s="22">
        <f t="shared" si="2398"/>
        <v>1365.6355000000001</v>
      </c>
      <c r="AE599" s="22">
        <f t="shared" ref="AE599:AF599" si="2399">+IFERROR(AE595/4,"n/a")</f>
        <v>1369.52775</v>
      </c>
      <c r="AF599" s="22">
        <f t="shared" si="2399"/>
        <v>1377.4204999999999</v>
      </c>
      <c r="AG599" s="22">
        <f t="shared" ref="AG599" si="2400">+IFERROR(AG595/4,"n/a")</f>
        <v>1383.4490000000001</v>
      </c>
      <c r="AH599" s="22">
        <f t="shared" ref="AH599" si="2401">+IFERROR(AH595/4,"n/a")</f>
        <v>1385.90825</v>
      </c>
      <c r="AO599" s="22" t="str">
        <f t="shared" ref="AO599:AU599" si="2402">+IFERROR(AO595/4,"n/a")</f>
        <v>n/a</v>
      </c>
      <c r="AP599" s="22" t="str">
        <f t="shared" si="2402"/>
        <v>n/a</v>
      </c>
      <c r="AQ599" s="22">
        <f t="shared" si="2402"/>
        <v>742.07988724999996</v>
      </c>
      <c r="AR599" s="22">
        <f t="shared" si="2402"/>
        <v>1156.8195000000001</v>
      </c>
      <c r="AS599" s="22">
        <f t="shared" si="2402"/>
        <v>1192.08575</v>
      </c>
      <c r="AT599" s="22">
        <f t="shared" si="2402"/>
        <v>1253.1628335</v>
      </c>
      <c r="AU599" s="22">
        <f t="shared" si="2402"/>
        <v>1264.385031</v>
      </c>
      <c r="AV599" s="22">
        <f t="shared" ref="AV599" si="2403">+IFERROR(AV595/4,"n/a")</f>
        <v>1354.0264999999999</v>
      </c>
    </row>
    <row r="600" spans="2:48" s="3" customFormat="1" x14ac:dyDescent="0.2">
      <c r="B600" s="20" t="s">
        <v>265</v>
      </c>
      <c r="H600" s="22" t="str">
        <f>+IFERROR(H596/4,"n/a")</f>
        <v>n/a</v>
      </c>
      <c r="I600" s="22">
        <f t="shared" ref="I600:AD600" si="2404">+IFERROR(I596/4,"n/a")</f>
        <v>485.13415149999997</v>
      </c>
      <c r="J600" s="22">
        <f t="shared" si="2404"/>
        <v>919.51273824999998</v>
      </c>
      <c r="K600" s="22">
        <f t="shared" si="2404"/>
        <v>1113.922172</v>
      </c>
      <c r="L600" s="22">
        <f t="shared" si="2404"/>
        <v>1139.75425</v>
      </c>
      <c r="M600" s="22">
        <f t="shared" si="2404"/>
        <v>1162.35725</v>
      </c>
      <c r="N600" s="22">
        <f t="shared" si="2404"/>
        <v>1162.35725</v>
      </c>
      <c r="O600" s="22">
        <f t="shared" si="2404"/>
        <v>1162.499</v>
      </c>
      <c r="P600" s="22">
        <f t="shared" si="2404"/>
        <v>1162.528</v>
      </c>
      <c r="Q600" s="22">
        <f t="shared" si="2404"/>
        <v>1195.3107500000001</v>
      </c>
      <c r="R600" s="22">
        <f t="shared" si="2404"/>
        <v>1196.569</v>
      </c>
      <c r="S600" s="22">
        <f t="shared" si="2404"/>
        <v>1213.6492499999999</v>
      </c>
      <c r="T600" s="22">
        <f t="shared" si="2404"/>
        <v>1245.8824999999999</v>
      </c>
      <c r="U600" s="22">
        <f t="shared" si="2404"/>
        <v>1429.8505</v>
      </c>
      <c r="V600" s="22">
        <f t="shared" si="2404"/>
        <v>1425.9965</v>
      </c>
      <c r="W600" s="22">
        <f t="shared" si="2404"/>
        <v>1421.1492499999999</v>
      </c>
      <c r="X600" s="22">
        <f t="shared" si="2404"/>
        <v>1422.0235</v>
      </c>
      <c r="Y600" s="22">
        <f t="shared" si="2404"/>
        <v>1429.23675</v>
      </c>
      <c r="Z600" s="22">
        <f t="shared" si="2404"/>
        <v>1444.04125</v>
      </c>
      <c r="AA600" s="22">
        <f t="shared" si="2404"/>
        <v>1452.3030000000001</v>
      </c>
      <c r="AB600" s="22">
        <f t="shared" si="2404"/>
        <v>1462.5944999999999</v>
      </c>
      <c r="AC600" s="22">
        <f t="shared" si="2404"/>
        <v>1458.337</v>
      </c>
      <c r="AD600" s="22">
        <f t="shared" si="2404"/>
        <v>1466.2755</v>
      </c>
      <c r="AE600" s="22">
        <f t="shared" ref="AE600:AF600" si="2405">+IFERROR(AE596/4,"n/a")</f>
        <v>1470.7449999999999</v>
      </c>
      <c r="AF600" s="22">
        <f t="shared" si="2405"/>
        <v>1476.7552499999999</v>
      </c>
      <c r="AG600" s="22">
        <f t="shared" ref="AG600" si="2406">+IFERROR(AG596/4,"n/a")</f>
        <v>1481.4147499999999</v>
      </c>
      <c r="AH600" s="22">
        <f t="shared" ref="AH600" si="2407">+IFERROR(AH596/4,"n/a")</f>
        <v>1477.4482499999999</v>
      </c>
      <c r="AO600" s="22" t="str">
        <f t="shared" ref="AO600:AU600" si="2408">+IFERROR(AO596/4,"n/a")</f>
        <v>n/a</v>
      </c>
      <c r="AP600" s="22" t="str">
        <f t="shared" si="2408"/>
        <v>n/a</v>
      </c>
      <c r="AQ600" s="22">
        <f t="shared" si="2408"/>
        <v>742.07988724999996</v>
      </c>
      <c r="AR600" s="22">
        <f t="shared" si="2408"/>
        <v>1156.8195000000001</v>
      </c>
      <c r="AS600" s="22">
        <f t="shared" si="2408"/>
        <v>1192.08575</v>
      </c>
      <c r="AT600" s="22">
        <f t="shared" si="2408"/>
        <v>1428.4410742499999</v>
      </c>
      <c r="AU600" s="22">
        <f t="shared" si="2408"/>
        <v>1440.3228597499999</v>
      </c>
      <c r="AV600" s="22">
        <f t="shared" ref="AV600" si="2409">+IFERROR(AV596/4,"n/a")</f>
        <v>1459.9075</v>
      </c>
    </row>
    <row r="602" spans="2:48" x14ac:dyDescent="0.2">
      <c r="B602" s="24" t="s">
        <v>70</v>
      </c>
    </row>
    <row r="603" spans="2:48" x14ac:dyDescent="0.2">
      <c r="B603" t="s">
        <v>71</v>
      </c>
      <c r="H603" s="11">
        <v>0.3</v>
      </c>
      <c r="I603" s="11">
        <v>0.51100000000000001</v>
      </c>
      <c r="J603" s="11">
        <v>0.55900000000000005</v>
      </c>
      <c r="K603" s="11">
        <v>2.1179999999999999</v>
      </c>
      <c r="L603" s="11">
        <v>4.2809999999999997</v>
      </c>
      <c r="M603" s="11">
        <v>3.7309999999999999</v>
      </c>
      <c r="N603" s="11">
        <v>8.5670000000000002</v>
      </c>
      <c r="O603" s="11">
        <v>7.2560000000000002</v>
      </c>
      <c r="P603" s="11">
        <v>8.4469999999999992</v>
      </c>
      <c r="Q603" s="11">
        <v>9.4969999999999999</v>
      </c>
      <c r="R603" s="11">
        <v>4.4240000000000004</v>
      </c>
      <c r="S603" s="11">
        <v>9.923</v>
      </c>
      <c r="T603" s="11">
        <v>4.3639999999999999</v>
      </c>
      <c r="U603" s="11">
        <v>7.4420000000000002</v>
      </c>
      <c r="V603" s="11">
        <v>9.0890000000000004</v>
      </c>
      <c r="W603" s="11">
        <v>5.7289999999999957</v>
      </c>
      <c r="X603" s="11">
        <v>9.1809999999999992</v>
      </c>
      <c r="Y603" s="11">
        <v>6.9889999999999999</v>
      </c>
      <c r="Z603" s="11">
        <v>5.8410000000000002</v>
      </c>
      <c r="AA603" s="11">
        <v>11.776999999999997</v>
      </c>
      <c r="AB603" s="11">
        <v>37.368000000000002</v>
      </c>
      <c r="AC603" s="11">
        <v>28.276</v>
      </c>
      <c r="AD603" s="11">
        <v>20.422000000000001</v>
      </c>
      <c r="AE603" s="11">
        <v>46.404000000000003</v>
      </c>
      <c r="AF603" s="11">
        <v>17.513999999999999</v>
      </c>
      <c r="AG603" s="11">
        <v>37.706000000000003</v>
      </c>
      <c r="AH603" s="11">
        <v>44.725000000000001</v>
      </c>
      <c r="AO603" s="11">
        <v>0.27600000000000002</v>
      </c>
      <c r="AP603" s="11">
        <v>0.79600000000000004</v>
      </c>
      <c r="AQ603" s="11">
        <v>3.488</v>
      </c>
      <c r="AR603" s="11">
        <v>23.835000000000001</v>
      </c>
      <c r="AS603" s="11">
        <v>32.290999999999997</v>
      </c>
      <c r="AT603" s="11">
        <v>26.623999999999999</v>
      </c>
      <c r="AU603" s="11">
        <v>33.787999999999997</v>
      </c>
      <c r="AV603" s="10">
        <f>+SUM(AB603:AE603)</f>
        <v>132.47</v>
      </c>
    </row>
    <row r="604" spans="2:48" x14ac:dyDescent="0.2">
      <c r="B604" t="s">
        <v>6</v>
      </c>
      <c r="H604" s="11">
        <v>1.202</v>
      </c>
      <c r="I604" s="11">
        <v>32.290999999999997</v>
      </c>
      <c r="J604" s="11">
        <v>180.46799999999999</v>
      </c>
      <c r="K604" s="11">
        <v>191.84399999999999</v>
      </c>
      <c r="L604" s="11">
        <v>196.12100000000001</v>
      </c>
      <c r="M604" s="11">
        <v>208.37899999999999</v>
      </c>
      <c r="N604" s="11">
        <v>219.00800000000001</v>
      </c>
      <c r="O604" s="11">
        <v>237.35400000000001</v>
      </c>
      <c r="P604" s="11">
        <v>231.79900000000001</v>
      </c>
      <c r="Q604" s="11">
        <v>249.542</v>
      </c>
      <c r="R604" s="11">
        <v>335.33100000000002</v>
      </c>
      <c r="S604" s="11">
        <v>276.875</v>
      </c>
      <c r="T604" s="11">
        <v>299.483</v>
      </c>
      <c r="U604" s="11">
        <v>383.54</v>
      </c>
      <c r="V604" s="11">
        <v>384.70400000000001</v>
      </c>
      <c r="W604" s="11">
        <v>544.49199999999996</v>
      </c>
      <c r="X604" s="11">
        <v>501.10500000000002</v>
      </c>
      <c r="Y604" s="11">
        <v>513.55899999999997</v>
      </c>
      <c r="Z604" s="11">
        <v>608.46199999999999</v>
      </c>
      <c r="AA604" s="11">
        <v>535.54999999999995</v>
      </c>
      <c r="AB604" s="11">
        <v>488.77300000000002</v>
      </c>
      <c r="AC604" s="11">
        <v>989.32600000000002</v>
      </c>
      <c r="AD604" s="11">
        <v>464.95</v>
      </c>
      <c r="AE604" s="11">
        <v>411.048</v>
      </c>
      <c r="AF604" s="11">
        <v>672.375</v>
      </c>
      <c r="AG604" s="11">
        <v>637.99699999999996</v>
      </c>
      <c r="AH604" s="11">
        <v>650.10599999999999</v>
      </c>
      <c r="AO604" s="11">
        <v>0.56299999999999994</v>
      </c>
      <c r="AP604" s="11">
        <v>1.675</v>
      </c>
      <c r="AQ604" s="11">
        <v>405.80500000000001</v>
      </c>
      <c r="AR604" s="11">
        <v>860.86199999999997</v>
      </c>
      <c r="AS604" s="11">
        <v>1093.547</v>
      </c>
      <c r="AT604" s="11">
        <v>1612.2190000000001</v>
      </c>
      <c r="AU604" s="11">
        <v>2158.6759999999999</v>
      </c>
      <c r="AV604" s="10">
        <f>+SUM(AB604:AE604)</f>
        <v>2354.0970000000002</v>
      </c>
    </row>
    <row r="605" spans="2:48" x14ac:dyDescent="0.2">
      <c r="B605" t="s">
        <v>7</v>
      </c>
      <c r="H605" s="11">
        <v>5.0270000000000001</v>
      </c>
      <c r="I605" s="11">
        <v>5770.7060000000001</v>
      </c>
      <c r="J605" s="11">
        <v>264.78199999999998</v>
      </c>
      <c r="K605" s="11">
        <v>255.67099999999999</v>
      </c>
      <c r="L605" s="11">
        <v>169.00299999999999</v>
      </c>
      <c r="M605" s="11">
        <v>187.04900000000001</v>
      </c>
      <c r="N605" s="11">
        <v>206.066</v>
      </c>
      <c r="O605" s="11">
        <v>224.523</v>
      </c>
      <c r="P605" s="11">
        <v>220.18799999999999</v>
      </c>
      <c r="Q605" s="11">
        <v>258.31599999999997</v>
      </c>
      <c r="R605" s="11">
        <v>236.011</v>
      </c>
      <c r="S605" s="11">
        <v>252.47</v>
      </c>
      <c r="T605" s="11">
        <v>191.17</v>
      </c>
      <c r="U605" s="11">
        <v>220.36500000000001</v>
      </c>
      <c r="V605" s="11">
        <v>156.73099999999999</v>
      </c>
      <c r="W605" s="11">
        <v>224.15500000000009</v>
      </c>
      <c r="X605" s="11">
        <v>383.29599999999999</v>
      </c>
      <c r="Y605" s="11">
        <v>661.01900000000001</v>
      </c>
      <c r="Z605" s="11">
        <v>680.25199999999995</v>
      </c>
      <c r="AA605" s="11">
        <v>1279.7600000000002</v>
      </c>
      <c r="AB605" s="11">
        <v>478.06200000000001</v>
      </c>
      <c r="AC605" s="11">
        <v>225.79900000000001</v>
      </c>
      <c r="AD605" s="11">
        <v>355.053</v>
      </c>
      <c r="AE605" s="11">
        <v>1230.3579999999999</v>
      </c>
      <c r="AF605" s="11">
        <v>1251.768</v>
      </c>
      <c r="AG605" s="11">
        <v>1244.961</v>
      </c>
      <c r="AH605" s="11">
        <v>1158.615</v>
      </c>
      <c r="AO605" s="11">
        <v>1.4770000000000001</v>
      </c>
      <c r="AP605" s="11">
        <v>108.14100000000001</v>
      </c>
      <c r="AQ605" s="11">
        <v>6296.1859999999997</v>
      </c>
      <c r="AR605" s="11">
        <v>786.64099999999996</v>
      </c>
      <c r="AS605" s="11">
        <v>966.98500000000001</v>
      </c>
      <c r="AT605" s="11">
        <v>792.42100000000005</v>
      </c>
      <c r="AU605" s="11">
        <v>3004.3270000000002</v>
      </c>
      <c r="AV605" s="10">
        <f>+SUM(AB605:AE605)</f>
        <v>2289.2719999999999</v>
      </c>
    </row>
    <row r="606" spans="2:48" ht="13.5" x14ac:dyDescent="0.35">
      <c r="B606" t="s">
        <v>8</v>
      </c>
      <c r="H606" s="13">
        <v>7.0810000000000004</v>
      </c>
      <c r="I606" s="13">
        <v>16.981999999999999</v>
      </c>
      <c r="J606" s="13">
        <v>33.652000000000001</v>
      </c>
      <c r="K606" s="13">
        <v>78.379000000000005</v>
      </c>
      <c r="L606" s="13">
        <v>129.227</v>
      </c>
      <c r="M606" s="13">
        <v>192.816</v>
      </c>
      <c r="N606" s="13">
        <v>234.786</v>
      </c>
      <c r="O606" s="13">
        <v>329.53899999999999</v>
      </c>
      <c r="P606" s="13">
        <v>348.93900000000002</v>
      </c>
      <c r="Q606" s="13">
        <v>397.15600000000001</v>
      </c>
      <c r="R606" s="13">
        <v>380.16300000000001</v>
      </c>
      <c r="S606" s="13">
        <v>393.96199999999999</v>
      </c>
      <c r="T606" s="13">
        <v>477.79199999999997</v>
      </c>
      <c r="U606" s="13">
        <v>576.41600000000005</v>
      </c>
      <c r="V606" s="13">
        <v>570.92899999999997</v>
      </c>
      <c r="W606" s="13">
        <v>718.32899999999972</v>
      </c>
      <c r="X606" s="13">
        <v>629.16800000000001</v>
      </c>
      <c r="Y606" s="13">
        <v>662.78099999999995</v>
      </c>
      <c r="Z606" s="13">
        <v>570.327</v>
      </c>
      <c r="AA606" s="13">
        <v>659.298</v>
      </c>
      <c r="AB606" s="13">
        <v>529.19899999999996</v>
      </c>
      <c r="AC606" s="13">
        <v>647.22799999999995</v>
      </c>
      <c r="AD606" s="13">
        <v>629.39400000000001</v>
      </c>
      <c r="AE606" s="13">
        <v>497.13400000000001</v>
      </c>
      <c r="AF606" s="13">
        <v>636.88499999999999</v>
      </c>
      <c r="AG606" s="13">
        <v>502.09800000000001</v>
      </c>
      <c r="AH606" s="13">
        <v>624.55899999999997</v>
      </c>
      <c r="AO606" s="13">
        <v>1.748</v>
      </c>
      <c r="AP606" s="13">
        <v>5.8929999999999998</v>
      </c>
      <c r="AQ606" s="13">
        <v>136.09399999999999</v>
      </c>
      <c r="AR606" s="13">
        <v>886.36800000000005</v>
      </c>
      <c r="AS606" s="13">
        <v>1520.22</v>
      </c>
      <c r="AT606" s="13">
        <v>2343.4659999999999</v>
      </c>
      <c r="AU606" s="13">
        <v>2521.5740000000001</v>
      </c>
      <c r="AV606" s="25">
        <f>+SUM(AB606:AE606)</f>
        <v>2302.9549999999999</v>
      </c>
    </row>
    <row r="607" spans="2:48" x14ac:dyDescent="0.2">
      <c r="B607" s="4" t="s">
        <v>73</v>
      </c>
      <c r="H607" s="17">
        <f>IFERROR(H603+H604+H605+H606,"n/a")</f>
        <v>13.61</v>
      </c>
      <c r="I607" s="17">
        <f t="shared" ref="I607:AD607" si="2410">IFERROR(I603+I604+I605+I606,"n/a")</f>
        <v>5820.49</v>
      </c>
      <c r="J607" s="17">
        <f t="shared" si="2410"/>
        <v>479.46099999999996</v>
      </c>
      <c r="K607" s="17">
        <f t="shared" si="2410"/>
        <v>528.01199999999994</v>
      </c>
      <c r="L607" s="17">
        <f t="shared" si="2410"/>
        <v>498.63199999999995</v>
      </c>
      <c r="M607" s="17">
        <f t="shared" si="2410"/>
        <v>591.97500000000002</v>
      </c>
      <c r="N607" s="17">
        <f t="shared" si="2410"/>
        <v>668.42700000000002</v>
      </c>
      <c r="O607" s="17">
        <f t="shared" si="2410"/>
        <v>798.67200000000003</v>
      </c>
      <c r="P607" s="17">
        <f t="shared" si="2410"/>
        <v>809.37300000000005</v>
      </c>
      <c r="Q607" s="17">
        <f t="shared" si="2410"/>
        <v>914.51099999999997</v>
      </c>
      <c r="R607" s="17">
        <f t="shared" si="2410"/>
        <v>955.92899999999997</v>
      </c>
      <c r="S607" s="17">
        <f t="shared" si="2410"/>
        <v>933.23</v>
      </c>
      <c r="T607" s="17">
        <f t="shared" si="2410"/>
        <v>972.80899999999997</v>
      </c>
      <c r="U607" s="17">
        <f t="shared" si="2410"/>
        <v>1187.7629999999999</v>
      </c>
      <c r="V607" s="17">
        <f t="shared" si="2410"/>
        <v>1121.453</v>
      </c>
      <c r="W607" s="17">
        <f t="shared" si="2410"/>
        <v>1492.7049999999999</v>
      </c>
      <c r="X607" s="17">
        <f t="shared" si="2410"/>
        <v>1522.75</v>
      </c>
      <c r="Y607" s="17">
        <f t="shared" si="2410"/>
        <v>1844.348</v>
      </c>
      <c r="Z607" s="17">
        <f t="shared" si="2410"/>
        <v>1864.8819999999998</v>
      </c>
      <c r="AA607" s="17">
        <f t="shared" si="2410"/>
        <v>2486.3850000000002</v>
      </c>
      <c r="AB607" s="17">
        <f t="shared" si="2410"/>
        <v>1533.402</v>
      </c>
      <c r="AC607" s="17">
        <f t="shared" si="2410"/>
        <v>1890.6289999999999</v>
      </c>
      <c r="AD607" s="17">
        <f t="shared" si="2410"/>
        <v>1469.819</v>
      </c>
      <c r="AE607" s="17">
        <f t="shared" ref="AE607:AF607" si="2411">IFERROR(AE603+AE604+AE605+AE606,"n/a")</f>
        <v>2184.944</v>
      </c>
      <c r="AF607" s="17">
        <f t="shared" si="2411"/>
        <v>2578.5420000000004</v>
      </c>
      <c r="AG607" s="17">
        <f t="shared" ref="AG607:AH607" si="2412">IFERROR(AG603+AG604+AG605+AG606,"n/a")</f>
        <v>2422.7620000000002</v>
      </c>
      <c r="AH607" s="17">
        <f t="shared" si="2412"/>
        <v>2478.0050000000001</v>
      </c>
      <c r="AO607" s="17">
        <f t="shared" ref="AO607" si="2413">IFERROR(AO603+AO604+AO605+AO606,"n/a")</f>
        <v>4.0640000000000001</v>
      </c>
      <c r="AP607" s="17">
        <f t="shared" ref="AP607" si="2414">IFERROR(AP603+AP604+AP605+AP606,"n/a")</f>
        <v>116.50500000000001</v>
      </c>
      <c r="AQ607" s="17">
        <f t="shared" ref="AQ607" si="2415">IFERROR(AQ603+AQ604+AQ605+AQ606,"n/a")</f>
        <v>6841.5729999999994</v>
      </c>
      <c r="AR607" s="17">
        <f t="shared" ref="AR607" si="2416">IFERROR(AR603+AR604+AR605+AR606,"n/a")</f>
        <v>2557.7060000000001</v>
      </c>
      <c r="AS607" s="17">
        <f t="shared" ref="AS607" si="2417">IFERROR(AS603+AS604+AS605+AS606,"n/a")</f>
        <v>3613.0429999999997</v>
      </c>
      <c r="AT607" s="17">
        <f t="shared" ref="AT607" si="2418">IFERROR(AT603+AT604+AT605+AT606,"n/a")</f>
        <v>4774.7299999999996</v>
      </c>
      <c r="AU607" s="17">
        <f t="shared" ref="AU607" si="2419">IFERROR(AU603+AU604+AU605+AU606,"n/a")</f>
        <v>7718.3649999999998</v>
      </c>
      <c r="AV607" s="10">
        <f>+SUM(AB607:AE607)</f>
        <v>7078.7939999999999</v>
      </c>
    </row>
    <row r="609" spans="2:48" x14ac:dyDescent="0.2">
      <c r="B609" s="24" t="s">
        <v>74</v>
      </c>
    </row>
    <row r="610" spans="2:48" x14ac:dyDescent="0.2">
      <c r="B610" t="s">
        <v>75</v>
      </c>
      <c r="H610" s="10">
        <f>+H574</f>
        <v>-253.13300000000027</v>
      </c>
      <c r="I610" s="10">
        <f t="shared" ref="I610:AD610" si="2420">+I574</f>
        <v>-6636.2199999999993</v>
      </c>
      <c r="J610" s="10">
        <f t="shared" si="2420"/>
        <v>-1269.4789999999994</v>
      </c>
      <c r="K610" s="10">
        <f t="shared" si="2420"/>
        <v>-2640.9089999999997</v>
      </c>
      <c r="L610" s="10">
        <f t="shared" si="2420"/>
        <v>-2120.5210000000002</v>
      </c>
      <c r="M610" s="10">
        <f t="shared" si="2420"/>
        <v>-1490.4130000000005</v>
      </c>
      <c r="N610" s="10">
        <f t="shared" si="2420"/>
        <v>-2791.972999999999</v>
      </c>
      <c r="O610" s="10">
        <f t="shared" si="2420"/>
        <v>-2135.3040000000001</v>
      </c>
      <c r="P610" s="10">
        <f t="shared" si="2420"/>
        <v>-4397.2330000000002</v>
      </c>
      <c r="Q610" s="10">
        <f t="shared" si="2420"/>
        <v>-1639.5820000000003</v>
      </c>
      <c r="R610" s="10">
        <f t="shared" si="2420"/>
        <v>-1295.738000000003</v>
      </c>
      <c r="S610" s="10">
        <f t="shared" si="2420"/>
        <v>-2047.7719999999972</v>
      </c>
      <c r="T610" s="10">
        <f t="shared" si="2420"/>
        <v>-4146.9560000000001</v>
      </c>
      <c r="U610" s="10">
        <f t="shared" si="2420"/>
        <v>1997.4790000000012</v>
      </c>
      <c r="V610" s="10">
        <f t="shared" si="2420"/>
        <v>2139.271999999999</v>
      </c>
      <c r="W610" s="10">
        <f t="shared" si="2420"/>
        <v>6906.9670000000133</v>
      </c>
      <c r="X610" s="10">
        <f t="shared" si="2420"/>
        <v>2154.405999999999</v>
      </c>
      <c r="Y610" s="10">
        <f t="shared" si="2420"/>
        <v>8697.1669999999976</v>
      </c>
      <c r="Z610" s="10">
        <f t="shared" si="2420"/>
        <v>10436.612999999998</v>
      </c>
      <c r="AA610" s="10">
        <f t="shared" si="2420"/>
        <v>9113.7349999999933</v>
      </c>
      <c r="AB610" s="10">
        <f t="shared" si="2420"/>
        <v>6929.0180000000037</v>
      </c>
      <c r="AC610" s="10">
        <f t="shared" si="2420"/>
        <v>12718.754999999997</v>
      </c>
      <c r="AD610" s="10">
        <f t="shared" si="2420"/>
        <v>16656.020999999997</v>
      </c>
      <c r="AE610" s="10">
        <f t="shared" ref="AE610:AF610" si="2421">+AE574</f>
        <v>22394.967999999993</v>
      </c>
      <c r="AF610" s="10">
        <f t="shared" si="2421"/>
        <v>25973.653000000009</v>
      </c>
      <c r="AG610" s="10">
        <f t="shared" ref="AG610:AH610" si="2422">+AG574</f>
        <v>32564.536000000007</v>
      </c>
      <c r="AH610" s="10">
        <f t="shared" si="2422"/>
        <v>24292.457999999999</v>
      </c>
      <c r="AO610" s="10">
        <f t="shared" ref="AO610:AU610" si="2423">+AO574</f>
        <v>-286.209</v>
      </c>
      <c r="AP610" s="10">
        <f t="shared" si="2423"/>
        <v>-595.72400000000005</v>
      </c>
      <c r="AQ610" s="10">
        <f t="shared" si="2423"/>
        <v>-10799.740999999998</v>
      </c>
      <c r="AR610" s="10">
        <f t="shared" si="2423"/>
        <v>-8538.2109999999993</v>
      </c>
      <c r="AS610" s="10">
        <f t="shared" si="2423"/>
        <v>-9380.3249999999971</v>
      </c>
      <c r="AT610" s="10">
        <f t="shared" si="2423"/>
        <v>6896.7619999999952</v>
      </c>
      <c r="AU610" s="10">
        <f t="shared" si="2423"/>
        <v>30401.921000000017</v>
      </c>
      <c r="AV610" s="10">
        <f>+SUM(AB610:AE610)</f>
        <v>58698.761999999988</v>
      </c>
    </row>
    <row r="611" spans="2:48" x14ac:dyDescent="0.2">
      <c r="B611" t="s">
        <v>76</v>
      </c>
      <c r="H611" s="10">
        <f>+H607</f>
        <v>13.61</v>
      </c>
      <c r="I611" s="10">
        <f t="shared" ref="I611:AD611" si="2424">+I607</f>
        <v>5820.49</v>
      </c>
      <c r="J611" s="10">
        <f t="shared" si="2424"/>
        <v>479.46099999999996</v>
      </c>
      <c r="K611" s="10">
        <f t="shared" si="2424"/>
        <v>528.01199999999994</v>
      </c>
      <c r="L611" s="10">
        <f t="shared" si="2424"/>
        <v>498.63199999999995</v>
      </c>
      <c r="M611" s="10">
        <f t="shared" si="2424"/>
        <v>591.97500000000002</v>
      </c>
      <c r="N611" s="10">
        <f t="shared" si="2424"/>
        <v>668.42700000000002</v>
      </c>
      <c r="O611" s="10">
        <f t="shared" si="2424"/>
        <v>798.67200000000003</v>
      </c>
      <c r="P611" s="10">
        <f t="shared" si="2424"/>
        <v>809.37300000000005</v>
      </c>
      <c r="Q611" s="10">
        <f t="shared" si="2424"/>
        <v>914.51099999999997</v>
      </c>
      <c r="R611" s="10">
        <f t="shared" si="2424"/>
        <v>955.92899999999997</v>
      </c>
      <c r="S611" s="10">
        <f t="shared" si="2424"/>
        <v>933.23</v>
      </c>
      <c r="T611" s="10">
        <f t="shared" si="2424"/>
        <v>972.80899999999997</v>
      </c>
      <c r="U611" s="10">
        <f t="shared" si="2424"/>
        <v>1187.7629999999999</v>
      </c>
      <c r="V611" s="10">
        <f t="shared" si="2424"/>
        <v>1121.453</v>
      </c>
      <c r="W611" s="10">
        <f t="shared" si="2424"/>
        <v>1492.7049999999999</v>
      </c>
      <c r="X611" s="10">
        <f t="shared" si="2424"/>
        <v>1522.75</v>
      </c>
      <c r="Y611" s="10">
        <f t="shared" si="2424"/>
        <v>1844.348</v>
      </c>
      <c r="Z611" s="10">
        <f t="shared" si="2424"/>
        <v>1864.8819999999998</v>
      </c>
      <c r="AA611" s="10">
        <f t="shared" si="2424"/>
        <v>2486.3850000000002</v>
      </c>
      <c r="AB611" s="10">
        <f t="shared" si="2424"/>
        <v>1533.402</v>
      </c>
      <c r="AC611" s="10">
        <f t="shared" si="2424"/>
        <v>1890.6289999999999</v>
      </c>
      <c r="AD611" s="10">
        <f t="shared" si="2424"/>
        <v>1469.819</v>
      </c>
      <c r="AE611" s="10">
        <f t="shared" ref="AE611:AF611" si="2425">+AE607</f>
        <v>2184.944</v>
      </c>
      <c r="AF611" s="10">
        <f t="shared" si="2425"/>
        <v>2578.5420000000004</v>
      </c>
      <c r="AG611" s="10">
        <f t="shared" ref="AG611:AH611" si="2426">+AG607</f>
        <v>2422.7620000000002</v>
      </c>
      <c r="AH611" s="10">
        <f t="shared" si="2426"/>
        <v>2478.0050000000001</v>
      </c>
      <c r="AO611" s="10">
        <f t="shared" ref="AO611:AU611" si="2427">+AO607</f>
        <v>4.0640000000000001</v>
      </c>
      <c r="AP611" s="10">
        <f t="shared" si="2427"/>
        <v>116.50500000000001</v>
      </c>
      <c r="AQ611" s="10">
        <f t="shared" si="2427"/>
        <v>6841.5729999999994</v>
      </c>
      <c r="AR611" s="10">
        <f t="shared" si="2427"/>
        <v>2557.7060000000001</v>
      </c>
      <c r="AS611" s="10">
        <f t="shared" si="2427"/>
        <v>3613.0429999999997</v>
      </c>
      <c r="AT611" s="10">
        <f t="shared" si="2427"/>
        <v>4774.7299999999996</v>
      </c>
      <c r="AU611" s="10">
        <f t="shared" si="2427"/>
        <v>7718.3649999999998</v>
      </c>
      <c r="AV611" s="10">
        <f>+SUM(AB611:AE611)</f>
        <v>7078.7939999999999</v>
      </c>
    </row>
    <row r="612" spans="2:48" ht="13.5" x14ac:dyDescent="0.35">
      <c r="B612" t="s">
        <v>77</v>
      </c>
      <c r="H612" s="25">
        <f>+H571</f>
        <v>0</v>
      </c>
      <c r="I612" s="25">
        <f t="shared" ref="I612:AD612" si="2428">+I571</f>
        <v>0</v>
      </c>
      <c r="J612" s="25">
        <f t="shared" si="2428"/>
        <v>0</v>
      </c>
      <c r="K612" s="25">
        <f t="shared" si="2428"/>
        <v>0</v>
      </c>
      <c r="L612" s="25">
        <f t="shared" si="2428"/>
        <v>0</v>
      </c>
      <c r="M612" s="25">
        <f t="shared" si="2428"/>
        <v>0</v>
      </c>
      <c r="N612" s="25">
        <f t="shared" si="2428"/>
        <v>0</v>
      </c>
      <c r="O612" s="25">
        <f t="shared" si="2428"/>
        <v>0</v>
      </c>
      <c r="P612" s="25">
        <f t="shared" si="2428"/>
        <v>0</v>
      </c>
      <c r="Q612" s="25">
        <f t="shared" si="2428"/>
        <v>0</v>
      </c>
      <c r="R612" s="25">
        <f t="shared" si="2428"/>
        <v>0</v>
      </c>
      <c r="S612" s="25">
        <f t="shared" si="2428"/>
        <v>0</v>
      </c>
      <c r="T612" s="25">
        <f t="shared" si="2428"/>
        <v>0</v>
      </c>
      <c r="U612" s="25">
        <f t="shared" si="2428"/>
        <v>0</v>
      </c>
      <c r="V612" s="25">
        <f t="shared" si="2428"/>
        <v>0</v>
      </c>
      <c r="W612" s="25">
        <f t="shared" si="2428"/>
        <v>0</v>
      </c>
      <c r="X612" s="25">
        <f t="shared" si="2428"/>
        <v>0</v>
      </c>
      <c r="Y612" s="25">
        <f t="shared" si="2428"/>
        <v>0</v>
      </c>
      <c r="Z612" s="25">
        <f t="shared" si="2428"/>
        <v>0</v>
      </c>
      <c r="AA612" s="25">
        <f t="shared" si="2428"/>
        <v>0</v>
      </c>
      <c r="AB612" s="25">
        <f t="shared" si="2428"/>
        <v>0</v>
      </c>
      <c r="AC612" s="25">
        <f t="shared" si="2428"/>
        <v>0</v>
      </c>
      <c r="AD612" s="25">
        <f t="shared" si="2428"/>
        <v>0</v>
      </c>
      <c r="AE612" s="25">
        <f t="shared" ref="AE612:AF612" si="2429">+AE571</f>
        <v>0</v>
      </c>
      <c r="AF612" s="25">
        <f t="shared" si="2429"/>
        <v>0</v>
      </c>
      <c r="AG612" s="25">
        <f t="shared" ref="AG612:AH612" si="2430">+AG571</f>
        <v>0</v>
      </c>
      <c r="AH612" s="25">
        <f t="shared" si="2430"/>
        <v>0</v>
      </c>
      <c r="AO612" s="25">
        <f t="shared" ref="AO612:AU612" si="2431">+AO571</f>
        <v>0</v>
      </c>
      <c r="AP612" s="25">
        <f t="shared" si="2431"/>
        <v>10</v>
      </c>
      <c r="AQ612" s="25">
        <f t="shared" si="2431"/>
        <v>0</v>
      </c>
      <c r="AR612" s="25">
        <f t="shared" si="2431"/>
        <v>0</v>
      </c>
      <c r="AS612" s="25">
        <f t="shared" si="2431"/>
        <v>0</v>
      </c>
      <c r="AT612" s="25">
        <f t="shared" si="2431"/>
        <v>0</v>
      </c>
      <c r="AU612" s="25">
        <f t="shared" si="2431"/>
        <v>0</v>
      </c>
      <c r="AV612" s="25">
        <f>+SUM(AB612:AE612)</f>
        <v>0</v>
      </c>
    </row>
    <row r="613" spans="2:48" x14ac:dyDescent="0.2">
      <c r="B613" s="4" t="s">
        <v>78</v>
      </c>
      <c r="H613" s="17">
        <f>IFERROR(H610+H611+H612,"n/a")</f>
        <v>-239.52300000000025</v>
      </c>
      <c r="I613" s="17">
        <f t="shared" ref="I613:AD613" si="2432">IFERROR(I610+I611+I612,"n/a")</f>
        <v>-815.72999999999956</v>
      </c>
      <c r="J613" s="17">
        <f t="shared" si="2432"/>
        <v>-790.01799999999935</v>
      </c>
      <c r="K613" s="17">
        <f t="shared" si="2432"/>
        <v>-2112.8969999999999</v>
      </c>
      <c r="L613" s="17">
        <f t="shared" si="2432"/>
        <v>-1621.8890000000001</v>
      </c>
      <c r="M613" s="17">
        <f t="shared" si="2432"/>
        <v>-898.43800000000044</v>
      </c>
      <c r="N613" s="17">
        <f t="shared" si="2432"/>
        <v>-2123.5459999999989</v>
      </c>
      <c r="O613" s="17">
        <f t="shared" si="2432"/>
        <v>-1336.6320000000001</v>
      </c>
      <c r="P613" s="17">
        <f t="shared" si="2432"/>
        <v>-3587.86</v>
      </c>
      <c r="Q613" s="17">
        <f t="shared" si="2432"/>
        <v>-725.07100000000037</v>
      </c>
      <c r="R613" s="17">
        <f t="shared" si="2432"/>
        <v>-339.80900000000304</v>
      </c>
      <c r="S613" s="17">
        <f t="shared" si="2432"/>
        <v>-1114.5419999999972</v>
      </c>
      <c r="T613" s="17">
        <f t="shared" si="2432"/>
        <v>-3174.1469999999999</v>
      </c>
      <c r="U613" s="17">
        <f t="shared" si="2432"/>
        <v>3185.2420000000011</v>
      </c>
      <c r="V613" s="17">
        <f t="shared" si="2432"/>
        <v>3260.724999999999</v>
      </c>
      <c r="W613" s="17">
        <f t="shared" si="2432"/>
        <v>8399.6720000000132</v>
      </c>
      <c r="X613" s="17">
        <f t="shared" si="2432"/>
        <v>3677.155999999999</v>
      </c>
      <c r="Y613" s="17">
        <f t="shared" si="2432"/>
        <v>10541.514999999998</v>
      </c>
      <c r="Z613" s="17">
        <f t="shared" si="2432"/>
        <v>12301.494999999997</v>
      </c>
      <c r="AA613" s="17">
        <f t="shared" si="2432"/>
        <v>11600.119999999994</v>
      </c>
      <c r="AB613" s="17">
        <f t="shared" si="2432"/>
        <v>8462.4200000000037</v>
      </c>
      <c r="AC613" s="17">
        <f t="shared" si="2432"/>
        <v>14609.383999999998</v>
      </c>
      <c r="AD613" s="17">
        <f t="shared" si="2432"/>
        <v>18125.839999999997</v>
      </c>
      <c r="AE613" s="17">
        <f t="shared" ref="AE613:AF613" si="2433">IFERROR(AE610+AE611+AE612,"n/a")</f>
        <v>24579.911999999993</v>
      </c>
      <c r="AF613" s="17">
        <f t="shared" si="2433"/>
        <v>28552.195000000011</v>
      </c>
      <c r="AG613" s="17">
        <f t="shared" ref="AG613:AH613" si="2434">IFERROR(AG610+AG611+AG612,"n/a")</f>
        <v>34987.29800000001</v>
      </c>
      <c r="AH613" s="17">
        <f t="shared" si="2434"/>
        <v>26770.463</v>
      </c>
      <c r="AO613" s="17">
        <f t="shared" ref="AO613" si="2435">IFERROR(AO610+AO611+AO612,"n/a")</f>
        <v>-282.14499999999998</v>
      </c>
      <c r="AP613" s="17">
        <f t="shared" ref="AP613" si="2436">IFERROR(AP610+AP611+AP612,"n/a")</f>
        <v>-469.21900000000005</v>
      </c>
      <c r="AQ613" s="17">
        <f t="shared" ref="AQ613" si="2437">IFERROR(AQ610+AQ611+AQ612,"n/a")</f>
        <v>-3958.1679999999988</v>
      </c>
      <c r="AR613" s="17">
        <f t="shared" ref="AR613" si="2438">IFERROR(AR610+AR611+AR612,"n/a")</f>
        <v>-5980.5049999999992</v>
      </c>
      <c r="AS613" s="17">
        <f t="shared" ref="AS613" si="2439">IFERROR(AS610+AS611+AS612,"n/a")</f>
        <v>-5767.2819999999974</v>
      </c>
      <c r="AT613" s="17">
        <f t="shared" ref="AT613" si="2440">IFERROR(AT610+AT611+AT612,"n/a")</f>
        <v>11671.491999999995</v>
      </c>
      <c r="AU613" s="17">
        <f t="shared" ref="AU613" si="2441">IFERROR(AU610+AU611+AU612,"n/a")</f>
        <v>38120.286000000015</v>
      </c>
      <c r="AV613" s="10">
        <f>+SUM(AB613:AE613)</f>
        <v>65777.555999999997</v>
      </c>
    </row>
    <row r="615" spans="2:48" x14ac:dyDescent="0.2">
      <c r="B615" s="24" t="s">
        <v>79</v>
      </c>
    </row>
    <row r="616" spans="2:48" x14ac:dyDescent="0.2">
      <c r="B616" t="s">
        <v>24</v>
      </c>
      <c r="H616" s="10">
        <f>+H586</f>
        <v>-281.51700000000022</v>
      </c>
      <c r="I616" s="10">
        <f t="shared" ref="I616:AD616" si="2442">+I586</f>
        <v>-6493.8879999999999</v>
      </c>
      <c r="J616" s="10">
        <f t="shared" si="2442"/>
        <v>-1098.3229999999994</v>
      </c>
      <c r="K616" s="10">
        <f t="shared" si="2442"/>
        <v>-2423.8929999999996</v>
      </c>
      <c r="L616" s="10">
        <f t="shared" si="2442"/>
        <v>-1877.7080000000001</v>
      </c>
      <c r="M616" s="10">
        <f t="shared" si="2442"/>
        <v>-1003.2500000000005</v>
      </c>
      <c r="N616" s="10">
        <f t="shared" si="2442"/>
        <v>-2335.0079999999994</v>
      </c>
      <c r="O616" s="10">
        <f t="shared" si="2442"/>
        <v>-1751.6370000000002</v>
      </c>
      <c r="P616" s="10">
        <f t="shared" si="2442"/>
        <v>-4119.3289999999997</v>
      </c>
      <c r="Q616" s="10">
        <f t="shared" si="2442"/>
        <v>-899.34900000000039</v>
      </c>
      <c r="R616" s="10">
        <f t="shared" si="2442"/>
        <v>-784.70800000000304</v>
      </c>
      <c r="S616" s="10">
        <f t="shared" si="2442"/>
        <v>-1376.3559999999973</v>
      </c>
      <c r="T616" s="10">
        <f t="shared" si="2442"/>
        <v>-2905.4160000000002</v>
      </c>
      <c r="U616" s="10">
        <f t="shared" si="2442"/>
        <v>2414.5800000000017</v>
      </c>
      <c r="V616" s="10">
        <f t="shared" si="2442"/>
        <v>1639.9599999999987</v>
      </c>
      <c r="W616" s="10">
        <f t="shared" si="2442"/>
        <v>6619.546000000013</v>
      </c>
      <c r="X616" s="10">
        <f t="shared" si="2442"/>
        <v>2599.4509999999991</v>
      </c>
      <c r="Y616" s="10">
        <f t="shared" si="2442"/>
        <v>8896.3399999999983</v>
      </c>
      <c r="Z616" s="10">
        <f t="shared" si="2442"/>
        <v>10588.573999999997</v>
      </c>
      <c r="AA616" s="10">
        <f t="shared" si="2442"/>
        <v>9453.6969999999965</v>
      </c>
      <c r="AB616" s="10">
        <f t="shared" si="2442"/>
        <v>8101.0270000000046</v>
      </c>
      <c r="AC616" s="10">
        <f t="shared" si="2442"/>
        <v>13108.085999999998</v>
      </c>
      <c r="AD616" s="10">
        <f t="shared" si="2442"/>
        <v>15537.122000000001</v>
      </c>
      <c r="AE616" s="10">
        <f t="shared" ref="AE616:AF616" si="2443">+AE586</f>
        <v>23280.308999999997</v>
      </c>
      <c r="AF616" s="10">
        <f t="shared" si="2443"/>
        <v>27997.826000000008</v>
      </c>
      <c r="AG616" s="10">
        <f t="shared" ref="AG616:AH616" si="2444">+AG586</f>
        <v>32009.355000000007</v>
      </c>
      <c r="AH616" s="10">
        <f t="shared" si="2444"/>
        <v>24980.694</v>
      </c>
      <c r="AO616" s="10">
        <f t="shared" ref="AO616:AU616" si="2445">+AO586</f>
        <v>-322.40600000000001</v>
      </c>
      <c r="AP616" s="10">
        <f t="shared" si="2445"/>
        <v>-498.702</v>
      </c>
      <c r="AQ616" s="10">
        <f t="shared" si="2445"/>
        <v>-10297.620999999997</v>
      </c>
      <c r="AR616" s="10">
        <f t="shared" si="2445"/>
        <v>-6967.6029999999992</v>
      </c>
      <c r="AS616" s="10">
        <f t="shared" si="2445"/>
        <v>-7179.7419999999966</v>
      </c>
      <c r="AT616" s="10">
        <f t="shared" si="2445"/>
        <v>7768.6699999999946</v>
      </c>
      <c r="AU616" s="10">
        <f t="shared" si="2445"/>
        <v>31538.062000000016</v>
      </c>
      <c r="AV616" s="10">
        <f>+SUM(AB616:AE616)</f>
        <v>60026.543999999994</v>
      </c>
    </row>
    <row r="617" spans="2:48" x14ac:dyDescent="0.2">
      <c r="B617" t="s">
        <v>76</v>
      </c>
      <c r="H617" s="10">
        <f>+H607</f>
        <v>13.61</v>
      </c>
      <c r="I617" s="10">
        <f t="shared" ref="I617:AD617" si="2446">+I607</f>
        <v>5820.49</v>
      </c>
      <c r="J617" s="10">
        <f t="shared" si="2446"/>
        <v>479.46099999999996</v>
      </c>
      <c r="K617" s="10">
        <f t="shared" si="2446"/>
        <v>528.01199999999994</v>
      </c>
      <c r="L617" s="10">
        <f t="shared" si="2446"/>
        <v>498.63199999999995</v>
      </c>
      <c r="M617" s="10">
        <f t="shared" si="2446"/>
        <v>591.97500000000002</v>
      </c>
      <c r="N617" s="10">
        <f t="shared" si="2446"/>
        <v>668.42700000000002</v>
      </c>
      <c r="O617" s="10">
        <f t="shared" si="2446"/>
        <v>798.67200000000003</v>
      </c>
      <c r="P617" s="10">
        <f t="shared" si="2446"/>
        <v>809.37300000000005</v>
      </c>
      <c r="Q617" s="10">
        <f t="shared" si="2446"/>
        <v>914.51099999999997</v>
      </c>
      <c r="R617" s="10">
        <f t="shared" si="2446"/>
        <v>955.92899999999997</v>
      </c>
      <c r="S617" s="10">
        <f t="shared" si="2446"/>
        <v>933.23</v>
      </c>
      <c r="T617" s="10">
        <f t="shared" si="2446"/>
        <v>972.80899999999997</v>
      </c>
      <c r="U617" s="10">
        <f t="shared" si="2446"/>
        <v>1187.7629999999999</v>
      </c>
      <c r="V617" s="10">
        <f t="shared" si="2446"/>
        <v>1121.453</v>
      </c>
      <c r="W617" s="10">
        <f t="shared" si="2446"/>
        <v>1492.7049999999999</v>
      </c>
      <c r="X617" s="10">
        <f t="shared" si="2446"/>
        <v>1522.75</v>
      </c>
      <c r="Y617" s="10">
        <f t="shared" si="2446"/>
        <v>1844.348</v>
      </c>
      <c r="Z617" s="10">
        <f t="shared" si="2446"/>
        <v>1864.8819999999998</v>
      </c>
      <c r="AA617" s="10">
        <f t="shared" si="2446"/>
        <v>2486.3850000000002</v>
      </c>
      <c r="AB617" s="10">
        <f t="shared" si="2446"/>
        <v>1533.402</v>
      </c>
      <c r="AC617" s="10">
        <f t="shared" si="2446"/>
        <v>1890.6289999999999</v>
      </c>
      <c r="AD617" s="10">
        <f t="shared" si="2446"/>
        <v>1469.819</v>
      </c>
      <c r="AE617" s="10">
        <f t="shared" ref="AE617:AF617" si="2447">+AE607</f>
        <v>2184.944</v>
      </c>
      <c r="AF617" s="10">
        <f t="shared" si="2447"/>
        <v>2578.5420000000004</v>
      </c>
      <c r="AG617" s="10">
        <f t="shared" ref="AG617:AH617" si="2448">+AG607</f>
        <v>2422.7620000000002</v>
      </c>
      <c r="AH617" s="10">
        <f t="shared" si="2448"/>
        <v>2478.0050000000001</v>
      </c>
      <c r="AO617" s="10">
        <f t="shared" ref="AO617:AU617" si="2449">+AO607</f>
        <v>4.0640000000000001</v>
      </c>
      <c r="AP617" s="10">
        <f t="shared" si="2449"/>
        <v>116.50500000000001</v>
      </c>
      <c r="AQ617" s="10">
        <f t="shared" si="2449"/>
        <v>6841.5729999999994</v>
      </c>
      <c r="AR617" s="10">
        <f t="shared" si="2449"/>
        <v>2557.7060000000001</v>
      </c>
      <c r="AS617" s="10">
        <f t="shared" si="2449"/>
        <v>3613.0429999999997</v>
      </c>
      <c r="AT617" s="10">
        <f t="shared" si="2449"/>
        <v>4774.7299999999996</v>
      </c>
      <c r="AU617" s="10">
        <f t="shared" si="2449"/>
        <v>7718.3649999999998</v>
      </c>
      <c r="AV617" s="10">
        <f>+SUM(AB617:AE617)</f>
        <v>7078.7939999999999</v>
      </c>
    </row>
    <row r="618" spans="2:48" x14ac:dyDescent="0.2">
      <c r="B618" t="s">
        <v>92</v>
      </c>
      <c r="H618" s="11">
        <v>0</v>
      </c>
      <c r="I618" s="11">
        <v>0</v>
      </c>
      <c r="J618" s="11">
        <v>0</v>
      </c>
      <c r="K618" s="11">
        <v>0</v>
      </c>
      <c r="L618" s="11">
        <v>0</v>
      </c>
      <c r="M618" s="11">
        <v>0</v>
      </c>
      <c r="N618" s="11">
        <v>0</v>
      </c>
      <c r="O618" s="11">
        <v>0</v>
      </c>
      <c r="P618" s="11">
        <v>0</v>
      </c>
      <c r="Q618" s="11">
        <v>-238.84800000000001</v>
      </c>
      <c r="R618" s="11">
        <v>148.09299999999999</v>
      </c>
      <c r="S618" s="11">
        <v>1.8280000000000001</v>
      </c>
      <c r="T618" s="11">
        <v>-276.33600000000001</v>
      </c>
      <c r="U618" s="11">
        <v>224.1</v>
      </c>
      <c r="V618" s="11">
        <v>90.3</v>
      </c>
      <c r="W618" s="11">
        <v>29.001000000000001</v>
      </c>
      <c r="X618" s="11">
        <v>65.599999999999994</v>
      </c>
      <c r="Y618" s="11">
        <v>22.459</v>
      </c>
      <c r="Z618" s="11">
        <v>-19.885999999999999</v>
      </c>
      <c r="AA618" s="11">
        <v>153.46700000000001</v>
      </c>
      <c r="AB618" s="11">
        <v>480.27600000000001</v>
      </c>
      <c r="AC618" s="11">
        <v>258.70400000000001</v>
      </c>
      <c r="AD618" s="11">
        <v>7.9349999999999996</v>
      </c>
      <c r="AE618" s="11">
        <v>3.052</v>
      </c>
      <c r="AF618" s="11">
        <v>25.437000000000001</v>
      </c>
      <c r="AG618" s="11">
        <v>1.7000000000000001E-2</v>
      </c>
      <c r="AH618" s="11">
        <v>2E-3</v>
      </c>
      <c r="AO618" s="11">
        <v>0</v>
      </c>
      <c r="AP618" s="11">
        <v>10</v>
      </c>
      <c r="AQ618" s="11">
        <v>0</v>
      </c>
      <c r="AR618" s="11">
        <v>0</v>
      </c>
      <c r="AS618" s="11">
        <v>-88.927999999999997</v>
      </c>
      <c r="AT618" s="11">
        <v>67.064999999999998</v>
      </c>
      <c r="AU618" s="11">
        <v>221.64</v>
      </c>
      <c r="AV618" s="10">
        <f>+SUM(AB618:AE618)</f>
        <v>749.96699999999998</v>
      </c>
    </row>
    <row r="619" spans="2:48" ht="13.5" x14ac:dyDescent="0.35">
      <c r="B619" t="s">
        <v>80</v>
      </c>
      <c r="H619" s="13">
        <v>0</v>
      </c>
      <c r="I619" s="13">
        <v>0</v>
      </c>
      <c r="J619" s="13">
        <v>0</v>
      </c>
      <c r="K619" s="13">
        <v>0</v>
      </c>
      <c r="L619" s="13">
        <v>0</v>
      </c>
      <c r="M619" s="13">
        <v>0</v>
      </c>
      <c r="N619" s="13">
        <v>6.15</v>
      </c>
      <c r="O619" s="13">
        <v>137.982</v>
      </c>
      <c r="P619" s="13">
        <v>140.31200000000001</v>
      </c>
      <c r="Q619" s="13">
        <v>146.44499999999999</v>
      </c>
      <c r="R619" s="13">
        <v>147.08099999999999</v>
      </c>
      <c r="S619" s="13">
        <v>256.76799999999997</v>
      </c>
      <c r="T619" s="13">
        <v>318.61099999999999</v>
      </c>
      <c r="U619" s="13">
        <v>298.863</v>
      </c>
      <c r="V619" s="13">
        <v>298.44299999999998</v>
      </c>
      <c r="W619" s="13">
        <v>303.14100000000002</v>
      </c>
      <c r="X619" s="13">
        <v>12.64</v>
      </c>
      <c r="Y619" s="13">
        <v>13.148</v>
      </c>
      <c r="Z619" s="13">
        <v>13.646000000000001</v>
      </c>
      <c r="AA619" s="13">
        <v>12.221</v>
      </c>
      <c r="AB619" s="13">
        <v>11.686999999999999</v>
      </c>
      <c r="AC619" s="13">
        <v>11.936999999999999</v>
      </c>
      <c r="AD619" s="13">
        <v>12.208</v>
      </c>
      <c r="AE619" s="13">
        <v>8.1549999999999994</v>
      </c>
      <c r="AF619" s="13">
        <v>0</v>
      </c>
      <c r="AG619" s="13">
        <v>0</v>
      </c>
      <c r="AH619" s="13">
        <v>0</v>
      </c>
      <c r="AO619" s="13">
        <v>0</v>
      </c>
      <c r="AP619" s="13">
        <v>0</v>
      </c>
      <c r="AQ619" s="13">
        <v>0</v>
      </c>
      <c r="AR619" s="13">
        <v>144.13200000000001</v>
      </c>
      <c r="AS619" s="13">
        <v>690.60599999999999</v>
      </c>
      <c r="AT619" s="13">
        <v>1219.058</v>
      </c>
      <c r="AU619" s="13">
        <v>51.655000000000001</v>
      </c>
      <c r="AV619" s="25">
        <f>+SUM(AB619:AE619)</f>
        <v>43.987000000000002</v>
      </c>
    </row>
    <row r="620" spans="2:48" x14ac:dyDescent="0.2">
      <c r="B620" s="4" t="s">
        <v>81</v>
      </c>
      <c r="H620" s="10">
        <f>IFERROR(H616+H617+H618+H619,"n/a")</f>
        <v>-267.90700000000021</v>
      </c>
      <c r="I620" s="10">
        <f t="shared" ref="I620:AD620" si="2450">IFERROR(I616+I617+I618+I619,"n/a")</f>
        <v>-673.39800000000014</v>
      </c>
      <c r="J620" s="10">
        <f t="shared" si="2450"/>
        <v>-618.8619999999994</v>
      </c>
      <c r="K620" s="10">
        <f t="shared" si="2450"/>
        <v>-1895.8809999999996</v>
      </c>
      <c r="L620" s="10">
        <f t="shared" si="2450"/>
        <v>-1379.076</v>
      </c>
      <c r="M620" s="10">
        <f t="shared" si="2450"/>
        <v>-411.27500000000043</v>
      </c>
      <c r="N620" s="10">
        <f t="shared" si="2450"/>
        <v>-1660.4309999999991</v>
      </c>
      <c r="O620" s="10">
        <f t="shared" si="2450"/>
        <v>-814.98300000000017</v>
      </c>
      <c r="P620" s="10">
        <f t="shared" si="2450"/>
        <v>-3169.6439999999998</v>
      </c>
      <c r="Q620" s="10">
        <f t="shared" si="2450"/>
        <v>-77.24100000000044</v>
      </c>
      <c r="R620" s="10">
        <f t="shared" si="2450"/>
        <v>466.39499999999691</v>
      </c>
      <c r="S620" s="10">
        <f t="shared" si="2450"/>
        <v>-184.5299999999973</v>
      </c>
      <c r="T620" s="10">
        <f t="shared" si="2450"/>
        <v>-1890.3320000000003</v>
      </c>
      <c r="U620" s="10">
        <f t="shared" si="2450"/>
        <v>4125.3060000000014</v>
      </c>
      <c r="V620" s="10">
        <f t="shared" si="2450"/>
        <v>3150.155999999999</v>
      </c>
      <c r="W620" s="10">
        <f t="shared" si="2450"/>
        <v>8444.3930000000128</v>
      </c>
      <c r="X620" s="10">
        <f t="shared" si="2450"/>
        <v>4200.4409999999998</v>
      </c>
      <c r="Y620" s="10">
        <f t="shared" si="2450"/>
        <v>10776.294999999998</v>
      </c>
      <c r="Z620" s="10">
        <f t="shared" si="2450"/>
        <v>12447.215999999997</v>
      </c>
      <c r="AA620" s="10">
        <f t="shared" si="2450"/>
        <v>12105.769999999997</v>
      </c>
      <c r="AB620" s="10">
        <f t="shared" si="2450"/>
        <v>10126.392000000003</v>
      </c>
      <c r="AC620" s="10">
        <f t="shared" si="2450"/>
        <v>15269.355999999996</v>
      </c>
      <c r="AD620" s="10">
        <f t="shared" si="2450"/>
        <v>17027.084000000003</v>
      </c>
      <c r="AE620" s="10">
        <f t="shared" ref="AE620:AF620" si="2451">IFERROR(AE616+AE617+AE618+AE619,"n/a")</f>
        <v>25476.459999999995</v>
      </c>
      <c r="AF620" s="10">
        <f t="shared" si="2451"/>
        <v>30601.805000000011</v>
      </c>
      <c r="AG620" s="10">
        <f t="shared" ref="AG620:AH620" si="2452">IFERROR(AG616+AG617+AG618+AG619,"n/a")</f>
        <v>34432.134000000005</v>
      </c>
      <c r="AH620" s="10">
        <f t="shared" si="2452"/>
        <v>27458.701000000001</v>
      </c>
      <c r="AO620" s="10">
        <f t="shared" ref="AO620" si="2453">IFERROR(AO616+AO617+AO618+AO619,"n/a")</f>
        <v>-318.34199999999998</v>
      </c>
      <c r="AP620" s="10">
        <f t="shared" ref="AP620" si="2454">IFERROR(AP616+AP617+AP618+AP619,"n/a")</f>
        <v>-372.197</v>
      </c>
      <c r="AQ620" s="10">
        <f t="shared" ref="AQ620" si="2455">IFERROR(AQ616+AQ617+AQ618+AQ619,"n/a")</f>
        <v>-3456.047999999998</v>
      </c>
      <c r="AR620" s="10">
        <f t="shared" ref="AR620" si="2456">IFERROR(AR616+AR617+AR618+AR619,"n/a")</f>
        <v>-4265.7649999999994</v>
      </c>
      <c r="AS620" s="10">
        <f t="shared" ref="AS620" si="2457">IFERROR(AS616+AS617+AS618+AS619,"n/a")</f>
        <v>-2965.020999999997</v>
      </c>
      <c r="AT620" s="10">
        <f t="shared" ref="AT620" si="2458">IFERROR(AT616+AT617+AT618+AT619,"n/a")</f>
        <v>13829.522999999994</v>
      </c>
      <c r="AU620" s="10">
        <f t="shared" ref="AU620" si="2459">IFERROR(AU616+AU617+AU618+AU619,"n/a")</f>
        <v>39529.722000000016</v>
      </c>
      <c r="AV620" s="10">
        <f>+SUM(AB620:AE620)</f>
        <v>67899.292000000001</v>
      </c>
    </row>
    <row r="621" spans="2:48" ht="13.5" x14ac:dyDescent="0.35">
      <c r="B621" t="s">
        <v>82</v>
      </c>
      <c r="H621" s="23" t="s">
        <v>64</v>
      </c>
      <c r="I621" s="13">
        <v>1940.5366059999999</v>
      </c>
      <c r="J621" s="13">
        <v>3678.0509529999999</v>
      </c>
      <c r="K621" s="13">
        <v>4455.6886880000002</v>
      </c>
      <c r="L621" s="13">
        <v>4559.0169999999998</v>
      </c>
      <c r="M621" s="13">
        <v>4649.4290000000001</v>
      </c>
      <c r="N621" s="13">
        <v>4649.4290000000001</v>
      </c>
      <c r="O621" s="13">
        <v>4649.9960000000001</v>
      </c>
      <c r="P621" s="13">
        <v>4650.1120000000001</v>
      </c>
      <c r="Q621" s="13">
        <v>4781.2430000000004</v>
      </c>
      <c r="R621" s="13">
        <v>5576.0929999999998</v>
      </c>
      <c r="S621" s="13">
        <v>4854.5969999999998</v>
      </c>
      <c r="T621" s="13">
        <v>4983.53</v>
      </c>
      <c r="U621" s="13">
        <v>5784.2079999999996</v>
      </c>
      <c r="V621" s="13">
        <v>5767.2070000000003</v>
      </c>
      <c r="W621" s="13">
        <v>5747.7839999999997</v>
      </c>
      <c r="X621" s="13">
        <v>5688.0940000000001</v>
      </c>
      <c r="Y621" s="13">
        <v>5716.9470000000001</v>
      </c>
      <c r="Z621" s="13">
        <v>5776.165</v>
      </c>
      <c r="AA621" s="13">
        <v>5809.2120000000004</v>
      </c>
      <c r="AB621" s="13">
        <v>5850.3779999999997</v>
      </c>
      <c r="AC621" s="13">
        <v>5833.348</v>
      </c>
      <c r="AD621" s="13">
        <v>5865.1019999999999</v>
      </c>
      <c r="AE621" s="13">
        <v>5882.98</v>
      </c>
      <c r="AF621" s="13">
        <v>5907.0209999999997</v>
      </c>
      <c r="AG621" s="13">
        <v>5925.6589999999997</v>
      </c>
      <c r="AH621" s="13">
        <v>5909.7929999999997</v>
      </c>
      <c r="AO621" s="23" t="s">
        <v>64</v>
      </c>
      <c r="AP621" s="23" t="s">
        <v>64</v>
      </c>
      <c r="AQ621" s="13">
        <v>2968.3195489999998</v>
      </c>
      <c r="AR621" s="13">
        <v>4627.2780000000002</v>
      </c>
      <c r="AS621" s="13">
        <v>4768.3429999999998</v>
      </c>
      <c r="AT621" s="13">
        <v>5784.4650000000001</v>
      </c>
      <c r="AU621" s="13">
        <v>5761.2914389999996</v>
      </c>
      <c r="AV621" s="13">
        <v>5839.63</v>
      </c>
    </row>
    <row r="622" spans="2:48" x14ac:dyDescent="0.2">
      <c r="B622" s="4" t="s">
        <v>83</v>
      </c>
      <c r="H622" s="26" t="str">
        <f>+IFERROR(H620/H621,"n/a")</f>
        <v>n/a</v>
      </c>
      <c r="I622" s="26">
        <f t="shared" ref="I622:AD622" si="2460">+IFERROR(I620/I621,"n/a")</f>
        <v>-0.34701638604389212</v>
      </c>
      <c r="J622" s="26">
        <f t="shared" si="2460"/>
        <v>-0.16825813668927697</v>
      </c>
      <c r="K622" s="26">
        <f t="shared" si="2460"/>
        <v>-0.42549673748661132</v>
      </c>
      <c r="L622" s="26">
        <f t="shared" si="2460"/>
        <v>-0.30249415608671781</v>
      </c>
      <c r="M622" s="26">
        <f t="shared" si="2460"/>
        <v>-8.8457098710400875E-2</v>
      </c>
      <c r="N622" s="26">
        <f t="shared" si="2460"/>
        <v>-0.35712578899473441</v>
      </c>
      <c r="O622" s="26">
        <f t="shared" si="2460"/>
        <v>-0.17526531205618245</v>
      </c>
      <c r="P622" s="26">
        <f t="shared" si="2460"/>
        <v>-0.68162745327424368</v>
      </c>
      <c r="Q622" s="26">
        <f t="shared" si="2460"/>
        <v>-1.6155004043927581E-2</v>
      </c>
      <c r="R622" s="26">
        <f t="shared" si="2460"/>
        <v>8.3641897651276068E-2</v>
      </c>
      <c r="S622" s="26">
        <f t="shared" si="2460"/>
        <v>-3.8011394148679552E-2</v>
      </c>
      <c r="T622" s="26">
        <f t="shared" si="2460"/>
        <v>-0.37931586646413296</v>
      </c>
      <c r="U622" s="26">
        <f t="shared" si="2460"/>
        <v>0.713201530788658</v>
      </c>
      <c r="V622" s="26">
        <f t="shared" si="2460"/>
        <v>0.54621864621817784</v>
      </c>
      <c r="W622" s="26">
        <f t="shared" si="2460"/>
        <v>1.4691562870142674</v>
      </c>
      <c r="X622" s="26">
        <f t="shared" si="2460"/>
        <v>0.73846195228137923</v>
      </c>
      <c r="Y622" s="26">
        <f t="shared" si="2460"/>
        <v>1.884973745602329</v>
      </c>
      <c r="Z622" s="26">
        <f t="shared" si="2460"/>
        <v>2.1549273609739328</v>
      </c>
      <c r="AA622" s="26">
        <f t="shared" si="2460"/>
        <v>2.083891928888117</v>
      </c>
      <c r="AB622" s="26">
        <f t="shared" si="2460"/>
        <v>1.7308953370192497</v>
      </c>
      <c r="AC622" s="26">
        <f t="shared" si="2460"/>
        <v>2.6175973043267771</v>
      </c>
      <c r="AD622" s="26">
        <f t="shared" si="2460"/>
        <v>2.9031181384398774</v>
      </c>
      <c r="AE622" s="26">
        <f t="shared" ref="AE622:AF622" si="2461">+IFERROR(AE620/AE621,"n/a")</f>
        <v>4.3305365648021921</v>
      </c>
      <c r="AF622" s="26">
        <f t="shared" si="2461"/>
        <v>5.180581717925163</v>
      </c>
      <c r="AG622" s="26">
        <f t="shared" ref="AG622:AH622" si="2462">+IFERROR(AG620/AG621,"n/a")</f>
        <v>5.8106843475130798</v>
      </c>
      <c r="AH622" s="26">
        <f t="shared" si="2462"/>
        <v>4.6463050397873502</v>
      </c>
      <c r="AO622" s="26" t="str">
        <f t="shared" ref="AO622" si="2463">+IFERROR(AO620/AO621,"n/a")</f>
        <v>n/a</v>
      </c>
      <c r="AP622" s="26" t="str">
        <f t="shared" ref="AP622" si="2464">+IFERROR(AP620/AP621,"n/a")</f>
        <v>n/a</v>
      </c>
      <c r="AQ622" s="26">
        <f t="shared" ref="AQ622" si="2465">+IFERROR(AQ620/AQ621,"n/a")</f>
        <v>-1.1643113023880161</v>
      </c>
      <c r="AR622" s="26">
        <f t="shared" ref="AR622" si="2466">+IFERROR(AR620/AR621,"n/a")</f>
        <v>-0.92187350749187735</v>
      </c>
      <c r="AS622" s="26">
        <f t="shared" ref="AS622" si="2467">+IFERROR(AS620/AS621,"n/a")</f>
        <v>-0.62181369922423724</v>
      </c>
      <c r="AT622" s="26">
        <f t="shared" ref="AT622" si="2468">+IFERROR(AT620/AT621,"n/a")</f>
        <v>2.3908041625284264</v>
      </c>
      <c r="AU622" s="26">
        <f t="shared" ref="AU622:AV622" si="2469">+IFERROR(AU620/AU621,"n/a")</f>
        <v>6.861260607719105</v>
      </c>
      <c r="AV622" s="26">
        <f t="shared" si="2469"/>
        <v>11.627327758779238</v>
      </c>
    </row>
    <row r="623" spans="2:48" x14ac:dyDescent="0.2">
      <c r="B623" s="4"/>
    </row>
    <row r="624" spans="2:48" x14ac:dyDescent="0.2">
      <c r="B624" s="19" t="s">
        <v>65</v>
      </c>
    </row>
    <row r="625" spans="2:48" x14ac:dyDescent="0.2">
      <c r="B625" s="20" t="s">
        <v>266</v>
      </c>
      <c r="H625" s="27" t="str">
        <f>+IFERROR(H622*4,"n/a")</f>
        <v>n/a</v>
      </c>
      <c r="I625" s="27">
        <f t="shared" ref="I625:AF625" si="2470">+IFERROR(I622*4,"n/a")</f>
        <v>-1.3880655441755685</v>
      </c>
      <c r="J625" s="27">
        <f t="shared" si="2470"/>
        <v>-0.67303254675710789</v>
      </c>
      <c r="K625" s="27">
        <f t="shared" si="2470"/>
        <v>-1.7019869499464453</v>
      </c>
      <c r="L625" s="27">
        <f t="shared" si="2470"/>
        <v>-1.2099766243468713</v>
      </c>
      <c r="M625" s="27">
        <f t="shared" si="2470"/>
        <v>-0.3538283948416035</v>
      </c>
      <c r="N625" s="27">
        <f t="shared" si="2470"/>
        <v>-1.4285031559789376</v>
      </c>
      <c r="O625" s="27">
        <f t="shared" si="2470"/>
        <v>-0.70106124822472982</v>
      </c>
      <c r="P625" s="27">
        <f t="shared" si="2470"/>
        <v>-2.7265098130969747</v>
      </c>
      <c r="Q625" s="27">
        <f t="shared" si="2470"/>
        <v>-6.4620016175710324E-2</v>
      </c>
      <c r="R625" s="27">
        <f t="shared" si="2470"/>
        <v>0.33456759060510427</v>
      </c>
      <c r="S625" s="27">
        <f t="shared" si="2470"/>
        <v>-0.15204557659471821</v>
      </c>
      <c r="T625" s="27">
        <f t="shared" si="2470"/>
        <v>-1.5172634658565318</v>
      </c>
      <c r="U625" s="27">
        <f t="shared" si="2470"/>
        <v>2.852806123154632</v>
      </c>
      <c r="V625" s="27">
        <f t="shared" si="2470"/>
        <v>2.1848745848727114</v>
      </c>
      <c r="W625" s="27">
        <f t="shared" si="2470"/>
        <v>5.8766251480570695</v>
      </c>
      <c r="X625" s="27">
        <f t="shared" si="2470"/>
        <v>2.9538478091255169</v>
      </c>
      <c r="Y625" s="27">
        <f t="shared" si="2470"/>
        <v>7.539894982409316</v>
      </c>
      <c r="Z625" s="27">
        <f t="shared" si="2470"/>
        <v>8.6197094438957311</v>
      </c>
      <c r="AA625" s="27">
        <f t="shared" si="2470"/>
        <v>8.3355677155524681</v>
      </c>
      <c r="AB625" s="27">
        <f t="shared" si="2470"/>
        <v>6.9235813480769988</v>
      </c>
      <c r="AC625" s="27">
        <f t="shared" si="2470"/>
        <v>10.470389217307108</v>
      </c>
      <c r="AD625" s="27">
        <f t="shared" si="2470"/>
        <v>11.61247255375951</v>
      </c>
      <c r="AE625" s="27">
        <f t="shared" si="2470"/>
        <v>17.322146259208768</v>
      </c>
      <c r="AF625" s="27">
        <f t="shared" si="2470"/>
        <v>20.722326871700652</v>
      </c>
      <c r="AG625" s="27">
        <f t="shared" ref="AG625:AH625" si="2471">+IFERROR(AG622*4,"n/a")</f>
        <v>23.242737390052319</v>
      </c>
      <c r="AH625" s="27">
        <f t="shared" si="2471"/>
        <v>18.585220159149401</v>
      </c>
      <c r="AI625" s="3"/>
      <c r="AJ625" s="3"/>
      <c r="AK625" s="3"/>
      <c r="AL625" s="3"/>
      <c r="AM625" s="3"/>
      <c r="AN625" s="3"/>
      <c r="AO625" s="27" t="str">
        <f t="shared" ref="AO625:AV625" si="2472">+IFERROR(AO622*4,"n/a")</f>
        <v>n/a</v>
      </c>
      <c r="AP625" s="27" t="str">
        <f t="shared" si="2472"/>
        <v>n/a</v>
      </c>
      <c r="AQ625" s="27">
        <f t="shared" si="2472"/>
        <v>-4.6572452095520642</v>
      </c>
      <c r="AR625" s="27">
        <f t="shared" si="2472"/>
        <v>-3.6874940299675094</v>
      </c>
      <c r="AS625" s="27">
        <f t="shared" si="2472"/>
        <v>-2.4872547968969489</v>
      </c>
      <c r="AT625" s="27">
        <f t="shared" si="2472"/>
        <v>9.5632166501137057</v>
      </c>
      <c r="AU625" s="27">
        <f t="shared" si="2472"/>
        <v>27.44504243087642</v>
      </c>
      <c r="AV625" s="27">
        <f t="shared" si="2472"/>
        <v>46.509311035116951</v>
      </c>
    </row>
    <row r="626" spans="2:48" x14ac:dyDescent="0.2">
      <c r="B626" s="20"/>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3"/>
      <c r="AF626" s="3"/>
      <c r="AG626" s="3"/>
      <c r="AH626" s="3"/>
      <c r="AI626" s="3"/>
      <c r="AJ626" s="3"/>
      <c r="AK626" s="3"/>
      <c r="AL626" s="3"/>
      <c r="AM626" s="3"/>
      <c r="AN626" s="3"/>
      <c r="AO626" s="27"/>
      <c r="AP626" s="27"/>
      <c r="AQ626" s="27"/>
      <c r="AR626" s="27"/>
      <c r="AS626" s="27"/>
      <c r="AT626" s="27"/>
      <c r="AU626" s="27"/>
    </row>
    <row r="627" spans="2:48" x14ac:dyDescent="0.2">
      <c r="B627" s="24" t="s">
        <v>353</v>
      </c>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3"/>
      <c r="AF627" s="3"/>
      <c r="AG627" s="3"/>
      <c r="AH627" s="3"/>
      <c r="AI627" s="3"/>
      <c r="AJ627" s="3"/>
      <c r="AK627" s="3"/>
      <c r="AL627" s="3"/>
      <c r="AM627" s="3"/>
      <c r="AN627" s="3"/>
      <c r="AO627" s="27"/>
      <c r="AP627" s="27"/>
      <c r="AQ627" s="27"/>
      <c r="AR627" s="27"/>
      <c r="AS627" s="27"/>
      <c r="AT627" s="27"/>
      <c r="AU627" s="27"/>
    </row>
    <row r="628" spans="2:48" x14ac:dyDescent="0.2">
      <c r="B628" t="s">
        <v>354</v>
      </c>
      <c r="H628" s="12" t="s">
        <v>64</v>
      </c>
      <c r="I628" s="12" t="s">
        <v>64</v>
      </c>
      <c r="J628" s="12" t="s">
        <v>64</v>
      </c>
      <c r="K628" s="12" t="s">
        <v>64</v>
      </c>
      <c r="L628" s="12" t="s">
        <v>64</v>
      </c>
      <c r="M628" s="12" t="s">
        <v>64</v>
      </c>
      <c r="N628" s="12" t="s">
        <v>64</v>
      </c>
      <c r="O628" s="12" t="s">
        <v>64</v>
      </c>
      <c r="P628" s="12" t="s">
        <v>64</v>
      </c>
      <c r="Q628" s="12" t="s">
        <v>64</v>
      </c>
      <c r="R628" s="12" t="s">
        <v>64</v>
      </c>
      <c r="S628" s="12" t="s">
        <v>64</v>
      </c>
      <c r="T628" s="12" t="s">
        <v>64</v>
      </c>
      <c r="U628" s="12" t="s">
        <v>64</v>
      </c>
      <c r="V628" s="12" t="s">
        <v>64</v>
      </c>
      <c r="W628" s="12" t="s">
        <v>64</v>
      </c>
      <c r="X628" s="12" t="s">
        <v>64</v>
      </c>
      <c r="Y628" s="12" t="s">
        <v>64</v>
      </c>
      <c r="Z628" s="12" t="s">
        <v>64</v>
      </c>
      <c r="AA628" s="12" t="s">
        <v>64</v>
      </c>
      <c r="AB628" s="12" t="s">
        <v>64</v>
      </c>
      <c r="AC628" s="12" t="s">
        <v>64</v>
      </c>
      <c r="AD628" s="12" t="s">
        <v>64</v>
      </c>
      <c r="AE628" s="12" t="s">
        <v>64</v>
      </c>
      <c r="AF628" s="12" t="s">
        <v>64</v>
      </c>
      <c r="AG628" s="12" t="s">
        <v>64</v>
      </c>
      <c r="AH628" s="12" t="s">
        <v>64</v>
      </c>
      <c r="AI628" s="3"/>
      <c r="AJ628" s="3"/>
      <c r="AK628" s="3"/>
      <c r="AL628" s="3"/>
      <c r="AM628" s="3"/>
      <c r="AN628" s="3"/>
      <c r="AO628" s="12">
        <v>113.691</v>
      </c>
      <c r="AP628" s="12">
        <v>1259.6099999999999</v>
      </c>
      <c r="AQ628" s="12">
        <v>12867.833000000001</v>
      </c>
      <c r="AR628" s="12">
        <v>25867.772000000001</v>
      </c>
      <c r="AS628" s="12">
        <v>39297.89</v>
      </c>
      <c r="AT628" s="12">
        <v>41456.838000000003</v>
      </c>
      <c r="AU628" s="12">
        <v>49971.417999999998</v>
      </c>
      <c r="AV628" s="12">
        <v>76428.811000000002</v>
      </c>
    </row>
    <row r="629" spans="2:48" ht="13.5" x14ac:dyDescent="0.35">
      <c r="B629" t="s">
        <v>355</v>
      </c>
      <c r="H629" s="36" t="str">
        <f>+IFERROR(H630-H628,"n/a")</f>
        <v>n/a</v>
      </c>
      <c r="I629" s="36" t="str">
        <f t="shared" ref="I629:AD629" si="2473">+IFERROR(I630-I628,"n/a")</f>
        <v>n/a</v>
      </c>
      <c r="J629" s="36" t="str">
        <f t="shared" si="2473"/>
        <v>n/a</v>
      </c>
      <c r="K629" s="36" t="str">
        <f t="shared" si="2473"/>
        <v>n/a</v>
      </c>
      <c r="L629" s="36" t="str">
        <f t="shared" si="2473"/>
        <v>n/a</v>
      </c>
      <c r="M629" s="36" t="str">
        <f t="shared" si="2473"/>
        <v>n/a</v>
      </c>
      <c r="N629" s="36" t="str">
        <f t="shared" si="2473"/>
        <v>n/a</v>
      </c>
      <c r="O629" s="36" t="str">
        <f t="shared" si="2473"/>
        <v>n/a</v>
      </c>
      <c r="P629" s="36" t="str">
        <f t="shared" si="2473"/>
        <v>n/a</v>
      </c>
      <c r="Q629" s="36" t="str">
        <f t="shared" si="2473"/>
        <v>n/a</v>
      </c>
      <c r="R629" s="36" t="str">
        <f t="shared" si="2473"/>
        <v>n/a</v>
      </c>
      <c r="S629" s="36" t="str">
        <f t="shared" si="2473"/>
        <v>n/a</v>
      </c>
      <c r="T629" s="36" t="str">
        <f t="shared" si="2473"/>
        <v>n/a</v>
      </c>
      <c r="U629" s="36" t="str">
        <f t="shared" si="2473"/>
        <v>n/a</v>
      </c>
      <c r="V629" s="36" t="str">
        <f t="shared" si="2473"/>
        <v>n/a</v>
      </c>
      <c r="W629" s="36" t="str">
        <f t="shared" si="2473"/>
        <v>n/a</v>
      </c>
      <c r="X629" s="36" t="str">
        <f t="shared" si="2473"/>
        <v>n/a</v>
      </c>
      <c r="Y629" s="36" t="str">
        <f t="shared" si="2473"/>
        <v>n/a</v>
      </c>
      <c r="Z629" s="36" t="str">
        <f t="shared" si="2473"/>
        <v>n/a</v>
      </c>
      <c r="AA629" s="36" t="str">
        <f t="shared" si="2473"/>
        <v>n/a</v>
      </c>
      <c r="AB629" s="36" t="str">
        <f t="shared" si="2473"/>
        <v>n/a</v>
      </c>
      <c r="AC629" s="36" t="str">
        <f t="shared" si="2473"/>
        <v>n/a</v>
      </c>
      <c r="AD629" s="36" t="str">
        <f t="shared" si="2473"/>
        <v>n/a</v>
      </c>
      <c r="AE629" s="36" t="str">
        <f t="shared" ref="AE629:AF629" si="2474">+IFERROR(AE630-AE628,"n/a")</f>
        <v>n/a</v>
      </c>
      <c r="AF629" s="36" t="str">
        <f t="shared" si="2474"/>
        <v>n/a</v>
      </c>
      <c r="AG629" s="36" t="str">
        <f t="shared" ref="AG629:AH629" si="2475">+IFERROR(AG630-AG628,"n/a")</f>
        <v>n/a</v>
      </c>
      <c r="AH629" s="36" t="str">
        <f t="shared" si="2475"/>
        <v>n/a</v>
      </c>
      <c r="AI629" s="3"/>
      <c r="AJ629" s="3"/>
      <c r="AK629" s="3"/>
      <c r="AL629" s="3"/>
      <c r="AM629" s="3"/>
      <c r="AN629" s="3"/>
      <c r="AO629" s="36">
        <f t="shared" ref="AO629" si="2476">+IFERROR(AO630-AO628,"n/a")</f>
        <v>55.299000000000007</v>
      </c>
      <c r="AP629" s="36">
        <f t="shared" ref="AP629" si="2477">+IFERROR(AP630-AP628,"n/a")</f>
        <v>84.972000000000207</v>
      </c>
      <c r="AQ629" s="36">
        <f t="shared" ref="AQ629" si="2478">+IFERROR(AQ630-AQ628,"n/a")</f>
        <v>573.97999999999956</v>
      </c>
      <c r="AR629" s="36">
        <f t="shared" ref="AR629" si="2479">+IFERROR(AR630-AR628,"n/a")</f>
        <v>1306.476999999999</v>
      </c>
      <c r="AS629" s="36">
        <f t="shared" ref="AS629" si="2480">+IFERROR(AS630-AS628,"n/a")</f>
        <v>1896.7090000000026</v>
      </c>
      <c r="AT629" s="36">
        <f t="shared" ref="AT629" si="2481">+IFERROR(AT630-AT628,"n/a")</f>
        <v>3344.8819999999978</v>
      </c>
      <c r="AU629" s="36">
        <f t="shared" ref="AU629:AV629" si="2482">+IFERROR(AU630-AU628,"n/a")</f>
        <v>4372.3009999999995</v>
      </c>
      <c r="AV629" s="36">
        <f t="shared" si="2482"/>
        <v>5760.0589999999938</v>
      </c>
    </row>
    <row r="630" spans="2:48" x14ac:dyDescent="0.2">
      <c r="B630" s="4" t="s">
        <v>356</v>
      </c>
      <c r="H630" s="17">
        <f>+H568</f>
        <v>1217.4580000000001</v>
      </c>
      <c r="I630" s="17">
        <f t="shared" ref="I630:AD630" si="2483">+I568</f>
        <v>2970.7339999999999</v>
      </c>
      <c r="J630" s="17">
        <f t="shared" si="2483"/>
        <v>3229.6469999999999</v>
      </c>
      <c r="K630" s="17">
        <f t="shared" si="2483"/>
        <v>6023.9740000000002</v>
      </c>
      <c r="L630" s="17">
        <f t="shared" si="2483"/>
        <v>4889.2550000000001</v>
      </c>
      <c r="M630" s="17">
        <f t="shared" si="2483"/>
        <v>6103.7030000000004</v>
      </c>
      <c r="N630" s="17">
        <f t="shared" si="2483"/>
        <v>6908.7550000000001</v>
      </c>
      <c r="O630" s="17">
        <f t="shared" si="2483"/>
        <v>9272.5360000000001</v>
      </c>
      <c r="P630" s="17">
        <f t="shared" si="2483"/>
        <v>7296.6210000000001</v>
      </c>
      <c r="Q630" s="17">
        <f t="shared" si="2483"/>
        <v>9113.5840000000007</v>
      </c>
      <c r="R630" s="17">
        <f t="shared" si="2483"/>
        <v>10071.868</v>
      </c>
      <c r="S630" s="17">
        <f t="shared" si="2483"/>
        <v>14712.526</v>
      </c>
      <c r="T630" s="17">
        <f t="shared" si="2483"/>
        <v>12997.406999999999</v>
      </c>
      <c r="U630" s="17">
        <f t="shared" si="2483"/>
        <v>10387.873</v>
      </c>
      <c r="V630" s="17">
        <f t="shared" si="2483"/>
        <v>10050.611000000001</v>
      </c>
      <c r="W630" s="17">
        <f t="shared" si="2483"/>
        <v>11365.828999999998</v>
      </c>
      <c r="X630" s="17">
        <f t="shared" si="2483"/>
        <v>11219.067999999999</v>
      </c>
      <c r="Y630" s="17">
        <f t="shared" si="2483"/>
        <v>11343.447</v>
      </c>
      <c r="Z630" s="17">
        <f t="shared" si="2483"/>
        <v>14048.82</v>
      </c>
      <c r="AA630" s="17">
        <f t="shared" si="2483"/>
        <v>17732.383999999998</v>
      </c>
      <c r="AB630" s="17">
        <f t="shared" si="2483"/>
        <v>16259.688</v>
      </c>
      <c r="AC630" s="17">
        <f t="shared" si="2483"/>
        <v>17542.208999999999</v>
      </c>
      <c r="AD630" s="17">
        <f t="shared" si="2483"/>
        <v>21748.449000000001</v>
      </c>
      <c r="AE630" s="17">
        <f t="shared" ref="AE630:AF630" si="2484">+AE568</f>
        <v>26638.524000000001</v>
      </c>
      <c r="AF630" s="17">
        <f t="shared" si="2484"/>
        <v>23410.654999999999</v>
      </c>
      <c r="AG630" s="17">
        <f t="shared" ref="AG630:AH630" si="2485">+AG568</f>
        <v>26049.136999999999</v>
      </c>
      <c r="AH630" s="17">
        <f t="shared" si="2485"/>
        <v>30483.8</v>
      </c>
      <c r="AI630" s="3"/>
      <c r="AJ630" s="3"/>
      <c r="AK630" s="3"/>
      <c r="AL630" s="3"/>
      <c r="AM630" s="3"/>
      <c r="AN630" s="3"/>
      <c r="AO630" s="17">
        <f t="shared" ref="AO630:AV630" si="2486">+AO568</f>
        <v>168.99</v>
      </c>
      <c r="AP630" s="17">
        <f t="shared" si="2486"/>
        <v>1344.5820000000001</v>
      </c>
      <c r="AQ630" s="17">
        <f t="shared" si="2486"/>
        <v>13441.813</v>
      </c>
      <c r="AR630" s="17">
        <f t="shared" si="2486"/>
        <v>27174.249</v>
      </c>
      <c r="AS630" s="17">
        <f t="shared" si="2486"/>
        <v>41194.599000000002</v>
      </c>
      <c r="AT630" s="17">
        <f t="shared" si="2486"/>
        <v>44801.72</v>
      </c>
      <c r="AU630" s="17">
        <f t="shared" si="2486"/>
        <v>54343.718999999997</v>
      </c>
      <c r="AV630" s="17">
        <f t="shared" si="2486"/>
        <v>82188.87</v>
      </c>
    </row>
    <row r="631" spans="2:48" x14ac:dyDescent="0.2">
      <c r="B631" s="20"/>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3"/>
      <c r="AF631" s="3"/>
      <c r="AG631" s="3"/>
      <c r="AH631" s="3"/>
      <c r="AI631" s="3"/>
      <c r="AJ631" s="3"/>
      <c r="AK631" s="3"/>
      <c r="AL631" s="3"/>
      <c r="AM631" s="3"/>
      <c r="AN631" s="3"/>
      <c r="AO631" s="27"/>
      <c r="AP631" s="27"/>
      <c r="AQ631" s="27"/>
      <c r="AR631" s="27"/>
      <c r="AS631" s="27"/>
      <c r="AT631" s="27"/>
      <c r="AU631" s="27"/>
    </row>
    <row r="632" spans="2:48" x14ac:dyDescent="0.2">
      <c r="B632" s="24" t="s">
        <v>326</v>
      </c>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3"/>
      <c r="AF632" s="3"/>
      <c r="AG632" s="3"/>
      <c r="AH632" s="3"/>
      <c r="AI632" s="3"/>
      <c r="AJ632" s="3"/>
      <c r="AK632" s="3"/>
      <c r="AL632" s="3"/>
      <c r="AM632" s="3"/>
      <c r="AN632" s="3"/>
      <c r="AO632" s="27"/>
      <c r="AP632" s="27"/>
      <c r="AQ632" s="27"/>
      <c r="AR632" s="27"/>
      <c r="AS632" s="27"/>
      <c r="AT632" s="27"/>
      <c r="AU632" s="27"/>
    </row>
    <row r="633" spans="2:48" x14ac:dyDescent="0.2">
      <c r="B633" t="s">
        <v>446</v>
      </c>
      <c r="H633" s="12" t="s">
        <v>64</v>
      </c>
      <c r="I633" s="12" t="s">
        <v>64</v>
      </c>
      <c r="J633" s="12" t="s">
        <v>64</v>
      </c>
      <c r="K633" s="17">
        <f>+AQ633</f>
        <v>507</v>
      </c>
      <c r="L633" s="12" t="s">
        <v>64</v>
      </c>
      <c r="M633" s="12" t="s">
        <v>64</v>
      </c>
      <c r="N633" s="12" t="s">
        <v>64</v>
      </c>
      <c r="O633" s="17">
        <f>+AR633</f>
        <v>826</v>
      </c>
      <c r="P633" s="12" t="s">
        <v>64</v>
      </c>
      <c r="Q633" s="12" t="s">
        <v>64</v>
      </c>
      <c r="R633" s="12" t="s">
        <v>64</v>
      </c>
      <c r="S633" s="17">
        <f>+AS633</f>
        <v>1936</v>
      </c>
      <c r="T633" s="12" t="s">
        <v>64</v>
      </c>
      <c r="U633" s="12" t="s">
        <v>64</v>
      </c>
      <c r="V633" s="12" t="s">
        <v>64</v>
      </c>
      <c r="W633" s="17">
        <f>+AT633</f>
        <v>2791</v>
      </c>
      <c r="X633" s="12" t="s">
        <v>64</v>
      </c>
      <c r="Y633" s="12" t="s">
        <v>64</v>
      </c>
      <c r="Z633" s="12" t="s">
        <v>64</v>
      </c>
      <c r="AA633" s="17">
        <f>+AU633</f>
        <v>4590</v>
      </c>
      <c r="AB633" s="12" t="s">
        <v>64</v>
      </c>
      <c r="AC633" s="12" t="s">
        <v>64</v>
      </c>
      <c r="AD633" s="12" t="s">
        <v>64</v>
      </c>
      <c r="AE633" s="17">
        <f>+AV633</f>
        <v>7158</v>
      </c>
      <c r="AF633" s="12" t="s">
        <v>64</v>
      </c>
      <c r="AG633" s="12" t="s">
        <v>64</v>
      </c>
      <c r="AH633" s="12" t="s">
        <v>64</v>
      </c>
      <c r="AI633" s="3"/>
      <c r="AJ633" s="3"/>
      <c r="AK633" s="3"/>
      <c r="AL633" s="3"/>
      <c r="AM633" s="3"/>
      <c r="AN633" s="3"/>
      <c r="AO633" s="12" t="s">
        <v>64</v>
      </c>
      <c r="AP633" s="12">
        <v>208</v>
      </c>
      <c r="AQ633" s="12">
        <v>507</v>
      </c>
      <c r="AR633" s="12">
        <v>826</v>
      </c>
      <c r="AS633" s="12">
        <v>1936</v>
      </c>
      <c r="AT633" s="12">
        <v>2791</v>
      </c>
      <c r="AU633" s="12">
        <v>4590</v>
      </c>
      <c r="AV633" s="12">
        <v>7158</v>
      </c>
    </row>
    <row r="634" spans="2:48" x14ac:dyDescent="0.2">
      <c r="B634" t="s">
        <v>328</v>
      </c>
      <c r="H634" s="12" t="s">
        <v>64</v>
      </c>
      <c r="I634" s="12" t="s">
        <v>64</v>
      </c>
      <c r="J634" s="12" t="s">
        <v>64</v>
      </c>
      <c r="K634" s="17">
        <f t="shared" ref="K634:K637" si="2487">+AQ634</f>
        <v>1866</v>
      </c>
      <c r="L634" s="12" t="s">
        <v>64</v>
      </c>
      <c r="M634" s="12" t="s">
        <v>64</v>
      </c>
      <c r="N634" s="12" t="s">
        <v>64</v>
      </c>
      <c r="O634" s="17">
        <f t="shared" ref="O634:O637" si="2488">+AR634</f>
        <v>3613</v>
      </c>
      <c r="P634" s="12" t="s">
        <v>64</v>
      </c>
      <c r="Q634" s="12" t="s">
        <v>64</v>
      </c>
      <c r="R634" s="12" t="s">
        <v>64</v>
      </c>
      <c r="S634" s="17">
        <f t="shared" ref="S634:S637" si="2489">+AS634</f>
        <v>4864</v>
      </c>
      <c r="T634" s="12" t="s">
        <v>64</v>
      </c>
      <c r="U634" s="12" t="s">
        <v>64</v>
      </c>
      <c r="V634" s="12" t="s">
        <v>64</v>
      </c>
      <c r="W634" s="17">
        <f t="shared" ref="W634:W637" si="2490">+AT634</f>
        <v>5622</v>
      </c>
      <c r="X634" s="12" t="s">
        <v>64</v>
      </c>
      <c r="Y634" s="12" t="s">
        <v>64</v>
      </c>
      <c r="Z634" s="12" t="s">
        <v>64</v>
      </c>
      <c r="AA634" s="17">
        <f t="shared" ref="AA634:AA637" si="2491">+AU634</f>
        <v>6444</v>
      </c>
      <c r="AB634" s="12" t="s">
        <v>64</v>
      </c>
      <c r="AC634" s="12" t="s">
        <v>64</v>
      </c>
      <c r="AD634" s="12" t="s">
        <v>64</v>
      </c>
      <c r="AE634" s="17">
        <f t="shared" ref="AE634:AE637" si="2492">+AV634</f>
        <v>7332</v>
      </c>
      <c r="AF634" s="12" t="s">
        <v>64</v>
      </c>
      <c r="AG634" s="12" t="s">
        <v>64</v>
      </c>
      <c r="AH634" s="12" t="s">
        <v>64</v>
      </c>
      <c r="AI634" s="3"/>
      <c r="AJ634" s="3"/>
      <c r="AK634" s="3"/>
      <c r="AL634" s="3"/>
      <c r="AM634" s="3"/>
      <c r="AN634" s="3"/>
      <c r="AO634" s="12" t="s">
        <v>64</v>
      </c>
      <c r="AP634" s="12">
        <v>545</v>
      </c>
      <c r="AQ634" s="12">
        <v>1866</v>
      </c>
      <c r="AR634" s="12">
        <v>3613</v>
      </c>
      <c r="AS634" s="12">
        <v>4864</v>
      </c>
      <c r="AT634" s="12">
        <v>5622</v>
      </c>
      <c r="AU634" s="12">
        <v>6444</v>
      </c>
      <c r="AV634" s="12">
        <v>7332</v>
      </c>
    </row>
    <row r="635" spans="2:48" x14ac:dyDescent="0.2">
      <c r="B635" t="s">
        <v>329</v>
      </c>
      <c r="H635" s="12" t="s">
        <v>64</v>
      </c>
      <c r="I635" s="12" t="s">
        <v>64</v>
      </c>
      <c r="J635" s="12" t="s">
        <v>64</v>
      </c>
      <c r="K635" s="17">
        <f t="shared" si="2487"/>
        <v>1039</v>
      </c>
      <c r="L635" s="12" t="s">
        <v>64</v>
      </c>
      <c r="M635" s="12" t="s">
        <v>64</v>
      </c>
      <c r="N635" s="12" t="s">
        <v>64</v>
      </c>
      <c r="O635" s="17">
        <f t="shared" si="2488"/>
        <v>879</v>
      </c>
      <c r="P635" s="12" t="s">
        <v>64</v>
      </c>
      <c r="Q635" s="12" t="s">
        <v>64</v>
      </c>
      <c r="R635" s="12" t="s">
        <v>64</v>
      </c>
      <c r="S635" s="17">
        <f t="shared" si="2489"/>
        <v>583</v>
      </c>
      <c r="T635" s="12" t="s">
        <v>64</v>
      </c>
      <c r="U635" s="12" t="s">
        <v>64</v>
      </c>
      <c r="V635" s="12" t="s">
        <v>64</v>
      </c>
      <c r="W635" s="17">
        <f t="shared" si="2490"/>
        <v>602</v>
      </c>
      <c r="X635" s="12" t="s">
        <v>64</v>
      </c>
      <c r="Y635" s="12" t="s">
        <v>64</v>
      </c>
      <c r="Z635" s="12" t="s">
        <v>64</v>
      </c>
      <c r="AA635" s="17">
        <f t="shared" si="2491"/>
        <v>809</v>
      </c>
      <c r="AB635" s="12" t="s">
        <v>64</v>
      </c>
      <c r="AC635" s="12" t="s">
        <v>64</v>
      </c>
      <c r="AD635" s="12" t="s">
        <v>64</v>
      </c>
      <c r="AE635" s="17">
        <f t="shared" si="2492"/>
        <v>1339</v>
      </c>
      <c r="AF635" s="12" t="s">
        <v>64</v>
      </c>
      <c r="AG635" s="12" t="s">
        <v>64</v>
      </c>
      <c r="AH635" s="12" t="s">
        <v>64</v>
      </c>
      <c r="AI635" s="3"/>
      <c r="AJ635" s="3"/>
      <c r="AK635" s="3"/>
      <c r="AL635" s="3"/>
      <c r="AM635" s="3"/>
      <c r="AN635" s="3"/>
      <c r="AO635" s="12" t="s">
        <v>64</v>
      </c>
      <c r="AP635" s="12">
        <v>306</v>
      </c>
      <c r="AQ635" s="12">
        <v>1039</v>
      </c>
      <c r="AR635" s="12">
        <v>879</v>
      </c>
      <c r="AS635" s="12">
        <v>583</v>
      </c>
      <c r="AT635" s="12">
        <v>602</v>
      </c>
      <c r="AU635" s="12">
        <v>809</v>
      </c>
      <c r="AV635" s="12">
        <v>1339</v>
      </c>
    </row>
    <row r="636" spans="2:48" ht="13.5" x14ac:dyDescent="0.35">
      <c r="B636" t="s">
        <v>330</v>
      </c>
      <c r="H636" s="23" t="s">
        <v>64</v>
      </c>
      <c r="I636" s="23" t="s">
        <v>64</v>
      </c>
      <c r="J636" s="23" t="s">
        <v>64</v>
      </c>
      <c r="K636" s="36">
        <f t="shared" si="2487"/>
        <v>271</v>
      </c>
      <c r="L636" s="23" t="s">
        <v>64</v>
      </c>
      <c r="M636" s="23" t="s">
        <v>64</v>
      </c>
      <c r="N636" s="23" t="s">
        <v>64</v>
      </c>
      <c r="O636" s="36">
        <f t="shared" si="2488"/>
        <v>510</v>
      </c>
      <c r="P636" s="23" t="s">
        <v>64</v>
      </c>
      <c r="Q636" s="23" t="s">
        <v>64</v>
      </c>
      <c r="R636" s="23" t="s">
        <v>64</v>
      </c>
      <c r="S636" s="36">
        <f t="shared" si="2489"/>
        <v>603</v>
      </c>
      <c r="T636" s="23" t="s">
        <v>64</v>
      </c>
      <c r="U636" s="23" t="s">
        <v>64</v>
      </c>
      <c r="V636" s="23" t="s">
        <v>64</v>
      </c>
      <c r="W636" s="36">
        <f t="shared" si="2490"/>
        <v>747</v>
      </c>
      <c r="X636" s="23" t="s">
        <v>64</v>
      </c>
      <c r="Y636" s="23" t="s">
        <v>64</v>
      </c>
      <c r="Z636" s="23" t="s">
        <v>64</v>
      </c>
      <c r="AA636" s="36">
        <f t="shared" si="2491"/>
        <v>1149</v>
      </c>
      <c r="AB636" s="23" t="s">
        <v>64</v>
      </c>
      <c r="AC636" s="23" t="s">
        <v>64</v>
      </c>
      <c r="AD636" s="23" t="s">
        <v>64</v>
      </c>
      <c r="AE636" s="36">
        <f t="shared" si="2492"/>
        <v>1574</v>
      </c>
      <c r="AF636" s="23" t="s">
        <v>64</v>
      </c>
      <c r="AG636" s="23" t="s">
        <v>64</v>
      </c>
      <c r="AH636" s="23" t="s">
        <v>64</v>
      </c>
      <c r="AI636" s="3"/>
      <c r="AJ636" s="3"/>
      <c r="AK636" s="3"/>
      <c r="AL636" s="3"/>
      <c r="AM636" s="3"/>
      <c r="AN636" s="3"/>
      <c r="AO636" s="23" t="s">
        <v>64</v>
      </c>
      <c r="AP636" s="23">
        <v>100</v>
      </c>
      <c r="AQ636" s="23">
        <v>271</v>
      </c>
      <c r="AR636" s="23">
        <v>510</v>
      </c>
      <c r="AS636" s="23">
        <v>603</v>
      </c>
      <c r="AT636" s="23">
        <v>747</v>
      </c>
      <c r="AU636" s="23">
        <v>1149</v>
      </c>
      <c r="AV636" s="23">
        <v>1574</v>
      </c>
    </row>
    <row r="637" spans="2:48" x14ac:dyDescent="0.2">
      <c r="B637" s="4" t="s">
        <v>331</v>
      </c>
      <c r="H637" s="17" t="str">
        <f>IFERROR(H633+SUM(H634:H636),"n/a")</f>
        <v>n/a</v>
      </c>
      <c r="I637" s="17" t="str">
        <f t="shared" ref="I637:AD637" si="2493">IFERROR(I633+SUM(I634:I636),"n/a")</f>
        <v>n/a</v>
      </c>
      <c r="J637" s="17" t="str">
        <f t="shared" si="2493"/>
        <v>n/a</v>
      </c>
      <c r="K637" s="17">
        <f t="shared" si="2487"/>
        <v>3683</v>
      </c>
      <c r="L637" s="17" t="str">
        <f t="shared" si="2493"/>
        <v>n/a</v>
      </c>
      <c r="M637" s="17" t="str">
        <f t="shared" si="2493"/>
        <v>n/a</v>
      </c>
      <c r="N637" s="17" t="str">
        <f t="shared" si="2493"/>
        <v>n/a</v>
      </c>
      <c r="O637" s="17">
        <f t="shared" si="2488"/>
        <v>5828</v>
      </c>
      <c r="P637" s="17" t="str">
        <f t="shared" si="2493"/>
        <v>n/a</v>
      </c>
      <c r="Q637" s="17" t="str">
        <f t="shared" si="2493"/>
        <v>n/a</v>
      </c>
      <c r="R637" s="17" t="str">
        <f t="shared" si="2493"/>
        <v>n/a</v>
      </c>
      <c r="S637" s="17">
        <f t="shared" si="2489"/>
        <v>7986</v>
      </c>
      <c r="T637" s="17" t="str">
        <f t="shared" si="2493"/>
        <v>n/a</v>
      </c>
      <c r="U637" s="17" t="str">
        <f t="shared" si="2493"/>
        <v>n/a</v>
      </c>
      <c r="V637" s="17" t="str">
        <f t="shared" si="2493"/>
        <v>n/a</v>
      </c>
      <c r="W637" s="17">
        <f t="shared" si="2490"/>
        <v>9762</v>
      </c>
      <c r="X637" s="17" t="str">
        <f t="shared" si="2493"/>
        <v>n/a</v>
      </c>
      <c r="Y637" s="17" t="str">
        <f t="shared" si="2493"/>
        <v>n/a</v>
      </c>
      <c r="Z637" s="17" t="str">
        <f t="shared" si="2493"/>
        <v>n/a</v>
      </c>
      <c r="AA637" s="17">
        <f t="shared" si="2491"/>
        <v>12992</v>
      </c>
      <c r="AB637" s="17" t="str">
        <f t="shared" si="2493"/>
        <v>n/a</v>
      </c>
      <c r="AC637" s="17" t="str">
        <f t="shared" si="2493"/>
        <v>n/a</v>
      </c>
      <c r="AD637" s="17" t="str">
        <f t="shared" si="2493"/>
        <v>n/a</v>
      </c>
      <c r="AE637" s="17">
        <f t="shared" si="2492"/>
        <v>17403</v>
      </c>
      <c r="AF637" s="17" t="str">
        <f t="shared" ref="AF637:AG637" si="2494">IFERROR(AF633+SUM(AF634:AF636),"n/a")</f>
        <v>n/a</v>
      </c>
      <c r="AG637" s="17" t="str">
        <f t="shared" si="2494"/>
        <v>n/a</v>
      </c>
      <c r="AH637" s="17" t="str">
        <f t="shared" ref="AH637" si="2495">IFERROR(AH633+SUM(AH634:AH636),"n/a")</f>
        <v>n/a</v>
      </c>
      <c r="AI637" s="3"/>
      <c r="AJ637" s="3"/>
      <c r="AK637" s="3"/>
      <c r="AL637" s="3"/>
      <c r="AM637" s="3"/>
      <c r="AN637" s="3"/>
      <c r="AO637" s="12">
        <v>531</v>
      </c>
      <c r="AP637" s="17">
        <f t="shared" ref="AP637:AS637" si="2496">IFERROR(AP633+SUM(AP634:AP636),"n/a")</f>
        <v>1159</v>
      </c>
      <c r="AQ637" s="17">
        <f t="shared" si="2496"/>
        <v>3683</v>
      </c>
      <c r="AR637" s="17">
        <f t="shared" si="2496"/>
        <v>5828</v>
      </c>
      <c r="AS637" s="17">
        <f t="shared" si="2496"/>
        <v>7986</v>
      </c>
      <c r="AT637" s="17">
        <f t="shared" ref="AT637" si="2497">IFERROR(AT633+SUM(AT634:AT636),"n/a")</f>
        <v>9762</v>
      </c>
      <c r="AU637" s="17">
        <f t="shared" ref="AU637:AV637" si="2498">IFERROR(AU633+SUM(AU634:AU636),"n/a")</f>
        <v>12992</v>
      </c>
      <c r="AV637" s="17">
        <f t="shared" si="2498"/>
        <v>17403</v>
      </c>
    </row>
    <row r="638" spans="2:48" x14ac:dyDescent="0.2">
      <c r="B638" s="20"/>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3"/>
      <c r="AF638" s="27"/>
      <c r="AG638" s="27"/>
      <c r="AH638" s="3"/>
      <c r="AI638" s="3"/>
      <c r="AJ638" s="3"/>
      <c r="AK638" s="3"/>
      <c r="AL638" s="3"/>
      <c r="AM638" s="3"/>
      <c r="AN638" s="3"/>
      <c r="AO638" s="27"/>
      <c r="AP638" s="27"/>
      <c r="AQ638" s="27"/>
      <c r="AR638" s="27"/>
      <c r="AS638" s="27"/>
      <c r="AT638" s="27"/>
      <c r="AU638" s="27"/>
    </row>
    <row r="639" spans="2:48" x14ac:dyDescent="0.2">
      <c r="B639" s="19" t="s">
        <v>85</v>
      </c>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3"/>
      <c r="AF639" s="27"/>
      <c r="AG639" s="27"/>
      <c r="AH639" s="3"/>
      <c r="AI639" s="3"/>
      <c r="AJ639" s="3"/>
      <c r="AK639" s="3"/>
      <c r="AL639" s="3"/>
      <c r="AM639" s="3"/>
      <c r="AN639" s="3"/>
      <c r="AO639" s="27"/>
      <c r="AP639" s="27"/>
      <c r="AQ639" s="27"/>
      <c r="AR639" s="27"/>
      <c r="AS639" s="27"/>
      <c r="AT639" s="27"/>
      <c r="AU639" s="27"/>
    </row>
    <row r="640" spans="2:48" x14ac:dyDescent="0.2">
      <c r="B640" s="20" t="s">
        <v>327</v>
      </c>
      <c r="H640" s="27"/>
      <c r="I640" s="27"/>
      <c r="J640" s="27"/>
      <c r="K640" s="27"/>
      <c r="L640" s="46" t="str">
        <f>IFERROR(L633/H633-1,"n/a")</f>
        <v>n/a</v>
      </c>
      <c r="M640" s="46" t="str">
        <f t="shared" ref="M640:AH644" si="2499">IFERROR(M633/I633-1,"n/a")</f>
        <v>n/a</v>
      </c>
      <c r="N640" s="46" t="str">
        <f t="shared" si="2499"/>
        <v>n/a</v>
      </c>
      <c r="O640" s="46">
        <f t="shared" si="2499"/>
        <v>0.62919132149901391</v>
      </c>
      <c r="P640" s="46" t="str">
        <f t="shared" si="2499"/>
        <v>n/a</v>
      </c>
      <c r="Q640" s="46" t="str">
        <f t="shared" si="2499"/>
        <v>n/a</v>
      </c>
      <c r="R640" s="46" t="str">
        <f t="shared" si="2499"/>
        <v>n/a</v>
      </c>
      <c r="S640" s="46">
        <f t="shared" si="2499"/>
        <v>1.3438256658595642</v>
      </c>
      <c r="T640" s="46" t="str">
        <f t="shared" si="2499"/>
        <v>n/a</v>
      </c>
      <c r="U640" s="46" t="str">
        <f t="shared" si="2499"/>
        <v>n/a</v>
      </c>
      <c r="V640" s="46" t="str">
        <f t="shared" si="2499"/>
        <v>n/a</v>
      </c>
      <c r="W640" s="46">
        <f t="shared" si="2499"/>
        <v>0.44163223140495877</v>
      </c>
      <c r="X640" s="46" t="str">
        <f t="shared" si="2499"/>
        <v>n/a</v>
      </c>
      <c r="Y640" s="46" t="str">
        <f t="shared" si="2499"/>
        <v>n/a</v>
      </c>
      <c r="Z640" s="46" t="str">
        <f t="shared" si="2499"/>
        <v>n/a</v>
      </c>
      <c r="AA640" s="46">
        <f t="shared" si="2499"/>
        <v>0.64457183805087781</v>
      </c>
      <c r="AB640" s="46" t="str">
        <f t="shared" si="2499"/>
        <v>n/a</v>
      </c>
      <c r="AC640" s="46" t="str">
        <f t="shared" si="2499"/>
        <v>n/a</v>
      </c>
      <c r="AD640" s="46" t="str">
        <f t="shared" si="2499"/>
        <v>n/a</v>
      </c>
      <c r="AE640" s="46">
        <f t="shared" si="2499"/>
        <v>0.55947712418300655</v>
      </c>
      <c r="AF640" s="46" t="str">
        <f t="shared" si="2499"/>
        <v>n/a</v>
      </c>
      <c r="AG640" s="46" t="str">
        <f t="shared" si="2499"/>
        <v>n/a</v>
      </c>
      <c r="AH640" s="46" t="str">
        <f t="shared" si="2499"/>
        <v>n/a</v>
      </c>
      <c r="AI640" s="3"/>
      <c r="AJ640" s="3"/>
      <c r="AK640" s="3"/>
      <c r="AL640" s="3"/>
      <c r="AM640" s="3"/>
      <c r="AN640" s="3"/>
      <c r="AO640" s="27"/>
      <c r="AP640" s="46" t="str">
        <f t="shared" ref="AP640:AV640" si="2500">IFERROR(AP633/AO633-1,"n/a")</f>
        <v>n/a</v>
      </c>
      <c r="AQ640" s="46">
        <f t="shared" si="2500"/>
        <v>1.4375</v>
      </c>
      <c r="AR640" s="46">
        <f t="shared" si="2500"/>
        <v>0.62919132149901391</v>
      </c>
      <c r="AS640" s="46">
        <f t="shared" si="2500"/>
        <v>1.3438256658595642</v>
      </c>
      <c r="AT640" s="46">
        <f t="shared" si="2500"/>
        <v>0.44163223140495877</v>
      </c>
      <c r="AU640" s="46">
        <f t="shared" si="2500"/>
        <v>0.64457183805087781</v>
      </c>
      <c r="AV640" s="46">
        <f t="shared" si="2500"/>
        <v>0.55947712418300655</v>
      </c>
    </row>
    <row r="641" spans="2:48" x14ac:dyDescent="0.2">
      <c r="B641" s="20" t="s">
        <v>328</v>
      </c>
      <c r="H641" s="27"/>
      <c r="I641" s="27"/>
      <c r="J641" s="27"/>
      <c r="K641" s="27"/>
      <c r="L641" s="46" t="str">
        <f t="shared" ref="L641:L644" si="2501">IFERROR(L634/H634-1,"n/a")</f>
        <v>n/a</v>
      </c>
      <c r="M641" s="46" t="str">
        <f t="shared" si="2499"/>
        <v>n/a</v>
      </c>
      <c r="N641" s="46" t="str">
        <f t="shared" si="2499"/>
        <v>n/a</v>
      </c>
      <c r="O641" s="46">
        <f t="shared" si="2499"/>
        <v>0.9362272240085745</v>
      </c>
      <c r="P641" s="46" t="str">
        <f t="shared" si="2499"/>
        <v>n/a</v>
      </c>
      <c r="Q641" s="46" t="str">
        <f t="shared" si="2499"/>
        <v>n/a</v>
      </c>
      <c r="R641" s="46" t="str">
        <f t="shared" si="2499"/>
        <v>n/a</v>
      </c>
      <c r="S641" s="46">
        <f t="shared" si="2499"/>
        <v>0.34624965402712427</v>
      </c>
      <c r="T641" s="46" t="str">
        <f t="shared" si="2499"/>
        <v>n/a</v>
      </c>
      <c r="U641" s="46" t="str">
        <f t="shared" si="2499"/>
        <v>n/a</v>
      </c>
      <c r="V641" s="46" t="str">
        <f t="shared" si="2499"/>
        <v>n/a</v>
      </c>
      <c r="W641" s="46">
        <f t="shared" si="2499"/>
        <v>0.15583881578947367</v>
      </c>
      <c r="X641" s="46" t="str">
        <f t="shared" si="2499"/>
        <v>n/a</v>
      </c>
      <c r="Y641" s="46" t="str">
        <f t="shared" si="2499"/>
        <v>n/a</v>
      </c>
      <c r="Z641" s="46" t="str">
        <f t="shared" si="2499"/>
        <v>n/a</v>
      </c>
      <c r="AA641" s="46">
        <f t="shared" si="2499"/>
        <v>0.14621131270010679</v>
      </c>
      <c r="AB641" s="46" t="str">
        <f t="shared" si="2499"/>
        <v>n/a</v>
      </c>
      <c r="AC641" s="46" t="str">
        <f t="shared" si="2499"/>
        <v>n/a</v>
      </c>
      <c r="AD641" s="46" t="str">
        <f t="shared" si="2499"/>
        <v>n/a</v>
      </c>
      <c r="AE641" s="46">
        <f t="shared" si="2499"/>
        <v>0.13780260707635006</v>
      </c>
      <c r="AF641" s="46" t="str">
        <f t="shared" si="2499"/>
        <v>n/a</v>
      </c>
      <c r="AG641" s="46" t="str">
        <f t="shared" si="2499"/>
        <v>n/a</v>
      </c>
      <c r="AH641" s="46" t="str">
        <f t="shared" si="2499"/>
        <v>n/a</v>
      </c>
      <c r="AI641" s="3"/>
      <c r="AJ641" s="3"/>
      <c r="AK641" s="3"/>
      <c r="AL641" s="3"/>
      <c r="AM641" s="3"/>
      <c r="AN641" s="3"/>
      <c r="AO641" s="27"/>
      <c r="AP641" s="46" t="str">
        <f t="shared" ref="AP641" si="2502">IFERROR(AP634/AO634-1,"n/a")</f>
        <v>n/a</v>
      </c>
      <c r="AQ641" s="46">
        <f t="shared" ref="AQ641" si="2503">IFERROR(AQ634/AP634-1,"n/a")</f>
        <v>2.4238532110091744</v>
      </c>
      <c r="AR641" s="46">
        <f t="shared" ref="AR641" si="2504">IFERROR(AR634/AQ634-1,"n/a")</f>
        <v>0.9362272240085745</v>
      </c>
      <c r="AS641" s="46">
        <f t="shared" ref="AS641" si="2505">IFERROR(AS634/AR634-1,"n/a")</f>
        <v>0.34624965402712427</v>
      </c>
      <c r="AT641" s="46">
        <f t="shared" ref="AT641:AV644" si="2506">IFERROR(AT634/AS634-1,"n/a")</f>
        <v>0.15583881578947367</v>
      </c>
      <c r="AU641" s="46">
        <f t="shared" si="2506"/>
        <v>0.14621131270010679</v>
      </c>
      <c r="AV641" s="46">
        <f t="shared" si="2506"/>
        <v>0.13780260707635006</v>
      </c>
    </row>
    <row r="642" spans="2:48" x14ac:dyDescent="0.2">
      <c r="B642" s="20" t="s">
        <v>329</v>
      </c>
      <c r="H642" s="27"/>
      <c r="I642" s="27"/>
      <c r="J642" s="27"/>
      <c r="K642" s="27"/>
      <c r="L642" s="46" t="str">
        <f t="shared" si="2501"/>
        <v>n/a</v>
      </c>
      <c r="M642" s="46" t="str">
        <f t="shared" si="2499"/>
        <v>n/a</v>
      </c>
      <c r="N642" s="46" t="str">
        <f t="shared" si="2499"/>
        <v>n/a</v>
      </c>
      <c r="O642" s="46">
        <f t="shared" si="2499"/>
        <v>-0.15399422521655437</v>
      </c>
      <c r="P642" s="46" t="str">
        <f t="shared" si="2499"/>
        <v>n/a</v>
      </c>
      <c r="Q642" s="46" t="str">
        <f t="shared" si="2499"/>
        <v>n/a</v>
      </c>
      <c r="R642" s="46" t="str">
        <f t="shared" si="2499"/>
        <v>n/a</v>
      </c>
      <c r="S642" s="46">
        <f t="shared" si="2499"/>
        <v>-0.33674630261660976</v>
      </c>
      <c r="T642" s="46" t="str">
        <f t="shared" si="2499"/>
        <v>n/a</v>
      </c>
      <c r="U642" s="46" t="str">
        <f t="shared" si="2499"/>
        <v>n/a</v>
      </c>
      <c r="V642" s="46" t="str">
        <f t="shared" si="2499"/>
        <v>n/a</v>
      </c>
      <c r="W642" s="46">
        <f t="shared" si="2499"/>
        <v>3.2590051457975999E-2</v>
      </c>
      <c r="X642" s="46" t="str">
        <f t="shared" si="2499"/>
        <v>n/a</v>
      </c>
      <c r="Y642" s="46" t="str">
        <f t="shared" si="2499"/>
        <v>n/a</v>
      </c>
      <c r="Z642" s="46" t="str">
        <f t="shared" si="2499"/>
        <v>n/a</v>
      </c>
      <c r="AA642" s="46">
        <f t="shared" si="2499"/>
        <v>0.34385382059800662</v>
      </c>
      <c r="AB642" s="46" t="str">
        <f t="shared" si="2499"/>
        <v>n/a</v>
      </c>
      <c r="AC642" s="46" t="str">
        <f t="shared" si="2499"/>
        <v>n/a</v>
      </c>
      <c r="AD642" s="46" t="str">
        <f t="shared" si="2499"/>
        <v>n/a</v>
      </c>
      <c r="AE642" s="46">
        <f t="shared" si="2499"/>
        <v>0.65512978986402959</v>
      </c>
      <c r="AF642" s="46" t="str">
        <f t="shared" si="2499"/>
        <v>n/a</v>
      </c>
      <c r="AG642" s="46" t="str">
        <f t="shared" si="2499"/>
        <v>n/a</v>
      </c>
      <c r="AH642" s="46" t="str">
        <f t="shared" si="2499"/>
        <v>n/a</v>
      </c>
      <c r="AI642" s="3"/>
      <c r="AJ642" s="3"/>
      <c r="AK642" s="3"/>
      <c r="AL642" s="3"/>
      <c r="AM642" s="3"/>
      <c r="AN642" s="3"/>
      <c r="AO642" s="27"/>
      <c r="AP642" s="46" t="str">
        <f t="shared" ref="AP642" si="2507">IFERROR(AP635/AO635-1,"n/a")</f>
        <v>n/a</v>
      </c>
      <c r="AQ642" s="46">
        <f t="shared" ref="AQ642" si="2508">IFERROR(AQ635/AP635-1,"n/a")</f>
        <v>2.3954248366013071</v>
      </c>
      <c r="AR642" s="46">
        <f t="shared" ref="AR642" si="2509">IFERROR(AR635/AQ635-1,"n/a")</f>
        <v>-0.15399422521655437</v>
      </c>
      <c r="AS642" s="46">
        <f t="shared" ref="AS642" si="2510">IFERROR(AS635/AR635-1,"n/a")</f>
        <v>-0.33674630261660976</v>
      </c>
      <c r="AT642" s="46">
        <f t="shared" si="2506"/>
        <v>3.2590051457975999E-2</v>
      </c>
      <c r="AU642" s="46">
        <f t="shared" si="2506"/>
        <v>0.34385382059800662</v>
      </c>
      <c r="AV642" s="46">
        <f t="shared" si="2506"/>
        <v>0.65512978986402959</v>
      </c>
    </row>
    <row r="643" spans="2:48" ht="13.5" x14ac:dyDescent="0.35">
      <c r="B643" s="20" t="s">
        <v>330</v>
      </c>
      <c r="H643" s="27"/>
      <c r="I643" s="27"/>
      <c r="J643" s="27"/>
      <c r="K643" s="27"/>
      <c r="L643" s="47" t="str">
        <f t="shared" si="2501"/>
        <v>n/a</v>
      </c>
      <c r="M643" s="47" t="str">
        <f t="shared" si="2499"/>
        <v>n/a</v>
      </c>
      <c r="N643" s="47" t="str">
        <f t="shared" si="2499"/>
        <v>n/a</v>
      </c>
      <c r="O643" s="47">
        <f t="shared" si="2499"/>
        <v>0.88191881918819193</v>
      </c>
      <c r="P643" s="47" t="str">
        <f t="shared" si="2499"/>
        <v>n/a</v>
      </c>
      <c r="Q643" s="47" t="str">
        <f t="shared" si="2499"/>
        <v>n/a</v>
      </c>
      <c r="R643" s="47" t="str">
        <f t="shared" si="2499"/>
        <v>n/a</v>
      </c>
      <c r="S643" s="47">
        <f t="shared" si="2499"/>
        <v>0.18235294117647061</v>
      </c>
      <c r="T643" s="47" t="str">
        <f t="shared" si="2499"/>
        <v>n/a</v>
      </c>
      <c r="U643" s="47" t="str">
        <f t="shared" si="2499"/>
        <v>n/a</v>
      </c>
      <c r="V643" s="47" t="str">
        <f t="shared" si="2499"/>
        <v>n/a</v>
      </c>
      <c r="W643" s="47">
        <f t="shared" si="2499"/>
        <v>0.23880597014925375</v>
      </c>
      <c r="X643" s="47" t="str">
        <f t="shared" si="2499"/>
        <v>n/a</v>
      </c>
      <c r="Y643" s="47" t="str">
        <f t="shared" si="2499"/>
        <v>n/a</v>
      </c>
      <c r="Z643" s="47" t="str">
        <f t="shared" si="2499"/>
        <v>n/a</v>
      </c>
      <c r="AA643" s="47">
        <f t="shared" si="2499"/>
        <v>0.5381526104417671</v>
      </c>
      <c r="AB643" s="47" t="str">
        <f t="shared" si="2499"/>
        <v>n/a</v>
      </c>
      <c r="AC643" s="47" t="str">
        <f t="shared" si="2499"/>
        <v>n/a</v>
      </c>
      <c r="AD643" s="47" t="str">
        <f t="shared" si="2499"/>
        <v>n/a</v>
      </c>
      <c r="AE643" s="47">
        <f t="shared" si="2499"/>
        <v>0.36988685813751099</v>
      </c>
      <c r="AF643" s="47" t="str">
        <f t="shared" si="2499"/>
        <v>n/a</v>
      </c>
      <c r="AG643" s="47" t="str">
        <f t="shared" si="2499"/>
        <v>n/a</v>
      </c>
      <c r="AH643" s="47" t="str">
        <f t="shared" si="2499"/>
        <v>n/a</v>
      </c>
      <c r="AI643" s="3"/>
      <c r="AJ643" s="3"/>
      <c r="AK643" s="3"/>
      <c r="AL643" s="3"/>
      <c r="AM643" s="3"/>
      <c r="AN643" s="3"/>
      <c r="AO643" s="27"/>
      <c r="AP643" s="47" t="str">
        <f t="shared" ref="AP643" si="2511">IFERROR(AP636/AO636-1,"n/a")</f>
        <v>n/a</v>
      </c>
      <c r="AQ643" s="47">
        <f t="shared" ref="AQ643" si="2512">IFERROR(AQ636/AP636-1,"n/a")</f>
        <v>1.71</v>
      </c>
      <c r="AR643" s="47">
        <f t="shared" ref="AR643" si="2513">IFERROR(AR636/AQ636-1,"n/a")</f>
        <v>0.88191881918819193</v>
      </c>
      <c r="AS643" s="47">
        <f t="shared" ref="AS643" si="2514">IFERROR(AS636/AR636-1,"n/a")</f>
        <v>0.18235294117647061</v>
      </c>
      <c r="AT643" s="47">
        <f t="shared" si="2506"/>
        <v>0.23880597014925375</v>
      </c>
      <c r="AU643" s="47">
        <f t="shared" si="2506"/>
        <v>0.5381526104417671</v>
      </c>
      <c r="AV643" s="47">
        <f t="shared" si="2506"/>
        <v>0.36988685813751099</v>
      </c>
    </row>
    <row r="644" spans="2:48" x14ac:dyDescent="0.2">
      <c r="B644" s="30" t="s">
        <v>331</v>
      </c>
      <c r="H644" s="27"/>
      <c r="I644" s="27"/>
      <c r="J644" s="27"/>
      <c r="K644" s="27"/>
      <c r="L644" s="46" t="str">
        <f t="shared" si="2501"/>
        <v>n/a</v>
      </c>
      <c r="M644" s="46" t="str">
        <f t="shared" si="2499"/>
        <v>n/a</v>
      </c>
      <c r="N644" s="46" t="str">
        <f t="shared" si="2499"/>
        <v>n/a</v>
      </c>
      <c r="O644" s="46">
        <f t="shared" si="2499"/>
        <v>0.58240564756991575</v>
      </c>
      <c r="P644" s="46" t="str">
        <f t="shared" si="2499"/>
        <v>n/a</v>
      </c>
      <c r="Q644" s="46" t="str">
        <f t="shared" si="2499"/>
        <v>n/a</v>
      </c>
      <c r="R644" s="46" t="str">
        <f t="shared" si="2499"/>
        <v>n/a</v>
      </c>
      <c r="S644" s="46">
        <f t="shared" si="2499"/>
        <v>0.37028140013726829</v>
      </c>
      <c r="T644" s="46" t="str">
        <f t="shared" si="2499"/>
        <v>n/a</v>
      </c>
      <c r="U644" s="46" t="str">
        <f t="shared" si="2499"/>
        <v>n/a</v>
      </c>
      <c r="V644" s="46" t="str">
        <f t="shared" si="2499"/>
        <v>n/a</v>
      </c>
      <c r="W644" s="46">
        <f t="shared" si="2499"/>
        <v>0.222389181066867</v>
      </c>
      <c r="X644" s="46" t="str">
        <f t="shared" si="2499"/>
        <v>n/a</v>
      </c>
      <c r="Y644" s="46" t="str">
        <f t="shared" si="2499"/>
        <v>n/a</v>
      </c>
      <c r="Z644" s="46" t="str">
        <f t="shared" si="2499"/>
        <v>n/a</v>
      </c>
      <c r="AA644" s="46">
        <f t="shared" si="2499"/>
        <v>0.3308748207334562</v>
      </c>
      <c r="AB644" s="46" t="str">
        <f t="shared" si="2499"/>
        <v>n/a</v>
      </c>
      <c r="AC644" s="46" t="str">
        <f t="shared" si="2499"/>
        <v>n/a</v>
      </c>
      <c r="AD644" s="46" t="str">
        <f t="shared" si="2499"/>
        <v>n/a</v>
      </c>
      <c r="AE644" s="46">
        <f t="shared" si="2499"/>
        <v>0.33951662561576357</v>
      </c>
      <c r="AF644" s="46" t="str">
        <f t="shared" si="2499"/>
        <v>n/a</v>
      </c>
      <c r="AG644" s="46" t="str">
        <f t="shared" si="2499"/>
        <v>n/a</v>
      </c>
      <c r="AH644" s="46" t="str">
        <f t="shared" si="2499"/>
        <v>n/a</v>
      </c>
      <c r="AI644" s="3"/>
      <c r="AJ644" s="3"/>
      <c r="AK644" s="3"/>
      <c r="AL644" s="3"/>
      <c r="AM644" s="3"/>
      <c r="AN644" s="3"/>
      <c r="AO644" s="27"/>
      <c r="AP644" s="46">
        <f t="shared" ref="AP644" si="2515">IFERROR(AP637/AO637-1,"n/a")</f>
        <v>1.1826741996233521</v>
      </c>
      <c r="AQ644" s="46">
        <f t="shared" ref="AQ644" si="2516">IFERROR(AQ637/AP637-1,"n/a")</f>
        <v>2.1777394305435722</v>
      </c>
      <c r="AR644" s="46">
        <f t="shared" ref="AR644" si="2517">IFERROR(AR637/AQ637-1,"n/a")</f>
        <v>0.58240564756991575</v>
      </c>
      <c r="AS644" s="46">
        <f t="shared" ref="AS644" si="2518">IFERROR(AS637/AR637-1,"n/a")</f>
        <v>0.37028140013726829</v>
      </c>
      <c r="AT644" s="46">
        <f t="shared" si="2506"/>
        <v>0.222389181066867</v>
      </c>
      <c r="AU644" s="46">
        <f t="shared" si="2506"/>
        <v>0.3308748207334562</v>
      </c>
      <c r="AV644" s="46">
        <f t="shared" si="2506"/>
        <v>0.33951662561576357</v>
      </c>
    </row>
    <row r="645" spans="2:48" x14ac:dyDescent="0.2">
      <c r="B645" s="20"/>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3"/>
      <c r="AF645" s="3"/>
      <c r="AG645" s="3"/>
      <c r="AH645" s="3"/>
      <c r="AI645" s="3"/>
      <c r="AJ645" s="3"/>
      <c r="AK645" s="3"/>
      <c r="AL645" s="3"/>
      <c r="AM645" s="3"/>
      <c r="AN645" s="3"/>
      <c r="AO645" s="27"/>
      <c r="AP645" s="27"/>
      <c r="AQ645" s="27"/>
      <c r="AR645" s="27"/>
      <c r="AS645" s="27"/>
      <c r="AT645" s="27"/>
      <c r="AU645" s="27"/>
    </row>
    <row r="646" spans="2:48" x14ac:dyDescent="0.2">
      <c r="B646" s="6" t="s">
        <v>122</v>
      </c>
      <c r="C646" s="5"/>
    </row>
    <row r="648" spans="2:48" x14ac:dyDescent="0.2">
      <c r="B648" s="1" t="s">
        <v>170</v>
      </c>
    </row>
    <row r="649" spans="2:48" x14ac:dyDescent="0.2">
      <c r="B649" t="s">
        <v>21</v>
      </c>
      <c r="H649" s="17" t="str">
        <f>H724</f>
        <v>n/a</v>
      </c>
      <c r="I649" s="17" t="str">
        <f>IFERROR(I724-H724,"n/a")</f>
        <v>n/a</v>
      </c>
      <c r="J649" s="17" t="str">
        <f t="shared" ref="J649:K649" si="2519">IFERROR(J724-I724,"n/a")</f>
        <v>n/a</v>
      </c>
      <c r="K649" s="17" t="str">
        <f t="shared" si="2519"/>
        <v>n/a</v>
      </c>
      <c r="L649" s="17" t="str">
        <f>L724</f>
        <v>n/a</v>
      </c>
      <c r="M649" s="17" t="str">
        <f>IFERROR(M724-L724,"n/a")</f>
        <v>n/a</v>
      </c>
      <c r="N649" s="17" t="str">
        <f t="shared" ref="N649:O649" si="2520">IFERROR(N724-M724,"n/a")</f>
        <v>n/a</v>
      </c>
      <c r="O649" s="17" t="str">
        <f t="shared" si="2520"/>
        <v>n/a</v>
      </c>
      <c r="P649" s="17" t="str">
        <f>P724</f>
        <v>n/a</v>
      </c>
      <c r="Q649" s="17" t="str">
        <f>IFERROR(Q724-P724,"n/a")</f>
        <v>n/a</v>
      </c>
      <c r="R649" s="17" t="str">
        <f t="shared" ref="R649:S649" si="2521">IFERROR(R724-Q724,"n/a")</f>
        <v>n/a</v>
      </c>
      <c r="S649" s="17" t="str">
        <f t="shared" si="2521"/>
        <v>n/a</v>
      </c>
      <c r="T649" s="17" t="str">
        <f>T724</f>
        <v>n/a</v>
      </c>
      <c r="U649" s="17" t="str">
        <f>IFERROR(U724-T724,"n/a")</f>
        <v>n/a</v>
      </c>
      <c r="V649" s="17" t="str">
        <f t="shared" ref="V649:W649" si="2522">IFERROR(V724-U724,"n/a")</f>
        <v>n/a</v>
      </c>
      <c r="W649" s="17" t="str">
        <f t="shared" si="2522"/>
        <v>n/a</v>
      </c>
      <c r="X649" s="17" t="str">
        <f>X724</f>
        <v>n/a</v>
      </c>
      <c r="Y649" s="17" t="str">
        <f>IFERROR(Y724-X724,"n/a")</f>
        <v>n/a</v>
      </c>
      <c r="Z649" s="17" t="str">
        <f t="shared" ref="Z649:AA649" si="2523">IFERROR(Z724-Y724,"n/a")</f>
        <v>n/a</v>
      </c>
      <c r="AA649" s="17" t="str">
        <f t="shared" si="2523"/>
        <v>n/a</v>
      </c>
      <c r="AB649" s="17" t="str">
        <f>AB724</f>
        <v>n/a</v>
      </c>
      <c r="AC649" s="17" t="str">
        <f t="shared" ref="AC649:AH663" si="2524">IFERROR(AC724-AB724,"n/a")</f>
        <v>n/a</v>
      </c>
      <c r="AD649" s="17" t="str">
        <f t="shared" si="2524"/>
        <v>n/a</v>
      </c>
      <c r="AE649" s="17" t="str">
        <f t="shared" si="2524"/>
        <v>n/a</v>
      </c>
      <c r="AF649" s="17" t="str">
        <f>AF724</f>
        <v>n/a</v>
      </c>
      <c r="AG649" s="17" t="str">
        <f t="shared" si="2524"/>
        <v>n/a</v>
      </c>
      <c r="AH649" s="17" t="str">
        <f t="shared" si="2524"/>
        <v>n/a</v>
      </c>
      <c r="AO649" s="11">
        <v>-291.97699999999998</v>
      </c>
      <c r="AP649" s="11">
        <v>-525.11500000000001</v>
      </c>
      <c r="AQ649" s="11">
        <v>-10217.125</v>
      </c>
      <c r="AR649" s="11">
        <v>-6967.6030000000001</v>
      </c>
      <c r="AS649" s="11">
        <v>-7179.7420000000002</v>
      </c>
      <c r="AT649" s="11">
        <v>7768.67</v>
      </c>
      <c r="AU649" s="11">
        <v>31538.062000000002</v>
      </c>
      <c r="AV649" s="17">
        <f>AV724</f>
        <v>60026.544000000002</v>
      </c>
    </row>
    <row r="650" spans="2:48" x14ac:dyDescent="0.2">
      <c r="B650" t="s">
        <v>216</v>
      </c>
      <c r="H650" s="17" t="str">
        <f t="shared" ref="H650:H676" si="2525">H725</f>
        <v>n/a</v>
      </c>
      <c r="I650" s="17" t="str">
        <f t="shared" ref="I650:K650" si="2526">IFERROR(I725-H725,"n/a")</f>
        <v>n/a</v>
      </c>
      <c r="J650" s="17" t="str">
        <f t="shared" si="2526"/>
        <v>n/a</v>
      </c>
      <c r="K650" s="17" t="str">
        <f t="shared" si="2526"/>
        <v>n/a</v>
      </c>
      <c r="L650" s="17" t="str">
        <f t="shared" ref="L650:L676" si="2527">L725</f>
        <v>n/a</v>
      </c>
      <c r="M650" s="17" t="str">
        <f t="shared" ref="M650:O650" si="2528">IFERROR(M725-L725,"n/a")</f>
        <v>n/a</v>
      </c>
      <c r="N650" s="17" t="str">
        <f t="shared" si="2528"/>
        <v>n/a</v>
      </c>
      <c r="O650" s="17" t="str">
        <f t="shared" si="2528"/>
        <v>n/a</v>
      </c>
      <c r="P650" s="17" t="str">
        <f t="shared" ref="P650:P676" si="2529">P725</f>
        <v>n/a</v>
      </c>
      <c r="Q650" s="17" t="str">
        <f t="shared" ref="Q650:S650" si="2530">IFERROR(Q725-P725,"n/a")</f>
        <v>n/a</v>
      </c>
      <c r="R650" s="17" t="str">
        <f t="shared" si="2530"/>
        <v>n/a</v>
      </c>
      <c r="S650" s="17" t="str">
        <f t="shared" si="2530"/>
        <v>n/a</v>
      </c>
      <c r="T650" s="17" t="str">
        <f t="shared" ref="T650:T676" si="2531">T725</f>
        <v>n/a</v>
      </c>
      <c r="U650" s="17" t="str">
        <f t="shared" ref="U650:W650" si="2532">IFERROR(U725-T725,"n/a")</f>
        <v>n/a</v>
      </c>
      <c r="V650" s="17" t="str">
        <f t="shared" si="2532"/>
        <v>n/a</v>
      </c>
      <c r="W650" s="17" t="str">
        <f t="shared" si="2532"/>
        <v>n/a</v>
      </c>
      <c r="X650" s="17" t="str">
        <f t="shared" ref="X650:X676" si="2533">X725</f>
        <v>n/a</v>
      </c>
      <c r="Y650" s="17" t="str">
        <f t="shared" ref="Y650:AA650" si="2534">IFERROR(Y725-X725,"n/a")</f>
        <v>n/a</v>
      </c>
      <c r="Z650" s="17" t="str">
        <f t="shared" si="2534"/>
        <v>n/a</v>
      </c>
      <c r="AA650" s="17" t="str">
        <f t="shared" si="2534"/>
        <v>n/a</v>
      </c>
      <c r="AB650" s="17" t="str">
        <f t="shared" ref="AB650:AB676" si="2535">AB725</f>
        <v>n/a</v>
      </c>
      <c r="AC650" s="17" t="str">
        <f t="shared" si="2524"/>
        <v>n/a</v>
      </c>
      <c r="AD650" s="17" t="str">
        <f t="shared" si="2524"/>
        <v>n/a</v>
      </c>
      <c r="AE650" s="17" t="str">
        <f t="shared" si="2524"/>
        <v>n/a</v>
      </c>
      <c r="AF650" s="17" t="str">
        <f t="shared" ref="AF650:AF676" si="2536">AF725</f>
        <v>n/a</v>
      </c>
      <c r="AG650" s="17" t="str">
        <f t="shared" si="2524"/>
        <v>n/a</v>
      </c>
      <c r="AH650" s="17" t="str">
        <f t="shared" si="2524"/>
        <v>n/a</v>
      </c>
      <c r="AO650" s="11">
        <v>0.75600000000000001</v>
      </c>
      <c r="AP650" s="11">
        <v>2.2650000000000001</v>
      </c>
      <c r="AQ650" s="11">
        <v>497.00299999999999</v>
      </c>
      <c r="AR650" s="11">
        <v>637.83100000000002</v>
      </c>
      <c r="AS650" s="11">
        <v>651.52300000000002</v>
      </c>
      <c r="AT650" s="11">
        <v>1495.38</v>
      </c>
      <c r="AU650" s="11">
        <v>2224.1689999999999</v>
      </c>
      <c r="AV650" s="17">
        <f t="shared" ref="AV650:AV676" si="2537">AV725</f>
        <v>786.23500000000001</v>
      </c>
    </row>
    <row r="651" spans="2:48" x14ac:dyDescent="0.2">
      <c r="B651" t="s">
        <v>123</v>
      </c>
      <c r="H651" s="17" t="str">
        <f t="shared" si="2525"/>
        <v>n/a</v>
      </c>
      <c r="I651" s="17" t="str">
        <f t="shared" ref="I651:K651" si="2538">IFERROR(I726-H726,"n/a")</f>
        <v>n/a</v>
      </c>
      <c r="J651" s="17" t="str">
        <f t="shared" si="2538"/>
        <v>n/a</v>
      </c>
      <c r="K651" s="17" t="str">
        <f t="shared" si="2538"/>
        <v>n/a</v>
      </c>
      <c r="L651" s="17" t="str">
        <f t="shared" si="2527"/>
        <v>n/a</v>
      </c>
      <c r="M651" s="17" t="str">
        <f t="shared" ref="M651:O651" si="2539">IFERROR(M726-L726,"n/a")</f>
        <v>n/a</v>
      </c>
      <c r="N651" s="17" t="str">
        <f t="shared" si="2539"/>
        <v>n/a</v>
      </c>
      <c r="O651" s="17" t="str">
        <f t="shared" si="2539"/>
        <v>n/a</v>
      </c>
      <c r="P651" s="17" t="str">
        <f t="shared" si="2529"/>
        <v>n/a</v>
      </c>
      <c r="Q651" s="17" t="str">
        <f t="shared" ref="Q651:S651" si="2540">IFERROR(Q726-P726,"n/a")</f>
        <v>n/a</v>
      </c>
      <c r="R651" s="17" t="str">
        <f t="shared" si="2540"/>
        <v>n/a</v>
      </c>
      <c r="S651" s="17" t="str">
        <f t="shared" si="2540"/>
        <v>n/a</v>
      </c>
      <c r="T651" s="17" t="str">
        <f t="shared" si="2531"/>
        <v>n/a</v>
      </c>
      <c r="U651" s="17" t="str">
        <f t="shared" ref="U651:W651" si="2541">IFERROR(U726-T726,"n/a")</f>
        <v>n/a</v>
      </c>
      <c r="V651" s="17" t="str">
        <f t="shared" si="2541"/>
        <v>n/a</v>
      </c>
      <c r="W651" s="17" t="str">
        <f t="shared" si="2541"/>
        <v>n/a</v>
      </c>
      <c r="X651" s="17" t="str">
        <f t="shared" si="2533"/>
        <v>n/a</v>
      </c>
      <c r="Y651" s="17" t="str">
        <f t="shared" ref="Y651:AA651" si="2542">IFERROR(Y726-X726,"n/a")</f>
        <v>n/a</v>
      </c>
      <c r="Z651" s="17" t="str">
        <f t="shared" si="2542"/>
        <v>n/a</v>
      </c>
      <c r="AA651" s="17" t="str">
        <f t="shared" si="2542"/>
        <v>n/a</v>
      </c>
      <c r="AB651" s="17" t="str">
        <f t="shared" si="2535"/>
        <v>n/a</v>
      </c>
      <c r="AC651" s="17" t="str">
        <f t="shared" si="2524"/>
        <v>n/a</v>
      </c>
      <c r="AD651" s="17" t="str">
        <f t="shared" si="2524"/>
        <v>n/a</v>
      </c>
      <c r="AE651" s="17" t="str">
        <f t="shared" si="2524"/>
        <v>n/a</v>
      </c>
      <c r="AF651" s="17" t="str">
        <f t="shared" si="2536"/>
        <v>n/a</v>
      </c>
      <c r="AG651" s="17" t="str">
        <f t="shared" si="2524"/>
        <v>n/a</v>
      </c>
      <c r="AH651" s="17" t="str">
        <f t="shared" si="2524"/>
        <v>n/a</v>
      </c>
      <c r="AO651" s="11">
        <v>0</v>
      </c>
      <c r="AP651" s="11">
        <v>0</v>
      </c>
      <c r="AQ651" s="11">
        <v>0</v>
      </c>
      <c r="AR651" s="11">
        <v>73.206000000000003</v>
      </c>
      <c r="AS651" s="11">
        <v>148.94499999999999</v>
      </c>
      <c r="AT651" s="11">
        <v>348.863</v>
      </c>
      <c r="AU651" s="11">
        <v>510.91500000000002</v>
      </c>
      <c r="AV651" s="17">
        <f t="shared" si="2537"/>
        <v>1101.97</v>
      </c>
    </row>
    <row r="652" spans="2:48" x14ac:dyDescent="0.2">
      <c r="B652" t="s">
        <v>9</v>
      </c>
      <c r="H652" s="17" t="str">
        <f t="shared" si="2525"/>
        <v>n/a</v>
      </c>
      <c r="I652" s="17" t="str">
        <f t="shared" ref="I652:K652" si="2543">IFERROR(I727-H727,"n/a")</f>
        <v>n/a</v>
      </c>
      <c r="J652" s="17" t="str">
        <f t="shared" si="2543"/>
        <v>n/a</v>
      </c>
      <c r="K652" s="17" t="str">
        <f t="shared" si="2543"/>
        <v>n/a</v>
      </c>
      <c r="L652" s="17" t="str">
        <f t="shared" si="2527"/>
        <v>n/a</v>
      </c>
      <c r="M652" s="17" t="str">
        <f t="shared" ref="M652:O652" si="2544">IFERROR(M727-L727,"n/a")</f>
        <v>n/a</v>
      </c>
      <c r="N652" s="17" t="str">
        <f t="shared" si="2544"/>
        <v>n/a</v>
      </c>
      <c r="O652" s="17" t="str">
        <f t="shared" si="2544"/>
        <v>n/a</v>
      </c>
      <c r="P652" s="17" t="str">
        <f t="shared" si="2529"/>
        <v>n/a</v>
      </c>
      <c r="Q652" s="17" t="str">
        <f t="shared" ref="Q652:S652" si="2545">IFERROR(Q727-P727,"n/a")</f>
        <v>n/a</v>
      </c>
      <c r="R652" s="17" t="str">
        <f t="shared" si="2545"/>
        <v>n/a</v>
      </c>
      <c r="S652" s="17" t="str">
        <f t="shared" si="2545"/>
        <v>n/a</v>
      </c>
      <c r="T652" s="17" t="str">
        <f t="shared" si="2531"/>
        <v>n/a</v>
      </c>
      <c r="U652" s="17" t="str">
        <f t="shared" ref="U652:W652" si="2546">IFERROR(U727-T727,"n/a")</f>
        <v>n/a</v>
      </c>
      <c r="V652" s="17" t="str">
        <f t="shared" si="2546"/>
        <v>n/a</v>
      </c>
      <c r="W652" s="17" t="str">
        <f t="shared" si="2546"/>
        <v>n/a</v>
      </c>
      <c r="X652" s="17" t="str">
        <f t="shared" si="2533"/>
        <v>n/a</v>
      </c>
      <c r="Y652" s="17" t="str">
        <f t="shared" ref="Y652:AA652" si="2547">IFERROR(Y727-X727,"n/a")</f>
        <v>n/a</v>
      </c>
      <c r="Z652" s="17" t="str">
        <f t="shared" si="2547"/>
        <v>n/a</v>
      </c>
      <c r="AA652" s="17" t="str">
        <f t="shared" si="2547"/>
        <v>n/a</v>
      </c>
      <c r="AB652" s="17" t="str">
        <f t="shared" si="2535"/>
        <v>n/a</v>
      </c>
      <c r="AC652" s="17" t="str">
        <f t="shared" si="2524"/>
        <v>n/a</v>
      </c>
      <c r="AD652" s="17" t="str">
        <f t="shared" si="2524"/>
        <v>n/a</v>
      </c>
      <c r="AE652" s="17" t="str">
        <f t="shared" si="2524"/>
        <v>n/a</v>
      </c>
      <c r="AF652" s="17" t="str">
        <f t="shared" si="2536"/>
        <v>n/a</v>
      </c>
      <c r="AG652" s="17" t="str">
        <f t="shared" si="2524"/>
        <v>n/a</v>
      </c>
      <c r="AH652" s="17" t="str">
        <f t="shared" si="2524"/>
        <v>n/a</v>
      </c>
      <c r="AO652" s="11">
        <v>0</v>
      </c>
      <c r="AP652" s="11">
        <v>10</v>
      </c>
      <c r="AQ652" s="11">
        <v>0</v>
      </c>
      <c r="AR652" s="11">
        <v>0</v>
      </c>
      <c r="AS652" s="11">
        <v>0</v>
      </c>
      <c r="AT652" s="11">
        <v>0</v>
      </c>
      <c r="AU652" s="11">
        <v>0</v>
      </c>
      <c r="AV652" s="17">
        <f t="shared" si="2537"/>
        <v>0</v>
      </c>
    </row>
    <row r="653" spans="2:48" x14ac:dyDescent="0.2">
      <c r="B653" t="s">
        <v>16</v>
      </c>
      <c r="H653" s="17" t="str">
        <f t="shared" si="2525"/>
        <v>n/a</v>
      </c>
      <c r="I653" s="17" t="str">
        <f t="shared" ref="I653:K653" si="2548">IFERROR(I728-H728,"n/a")</f>
        <v>n/a</v>
      </c>
      <c r="J653" s="17" t="str">
        <f t="shared" si="2548"/>
        <v>n/a</v>
      </c>
      <c r="K653" s="17" t="str">
        <f t="shared" si="2548"/>
        <v>n/a</v>
      </c>
      <c r="L653" s="17" t="str">
        <f t="shared" si="2527"/>
        <v>n/a</v>
      </c>
      <c r="M653" s="17" t="str">
        <f t="shared" ref="M653:O653" si="2549">IFERROR(M728-L728,"n/a")</f>
        <v>n/a</v>
      </c>
      <c r="N653" s="17" t="str">
        <f t="shared" si="2549"/>
        <v>n/a</v>
      </c>
      <c r="O653" s="17" t="str">
        <f t="shared" si="2549"/>
        <v>n/a</v>
      </c>
      <c r="P653" s="17" t="str">
        <f t="shared" si="2529"/>
        <v>n/a</v>
      </c>
      <c r="Q653" s="17" t="str">
        <f t="shared" ref="Q653:S653" si="2550">IFERROR(Q728-P728,"n/a")</f>
        <v>n/a</v>
      </c>
      <c r="R653" s="17" t="str">
        <f t="shared" si="2550"/>
        <v>n/a</v>
      </c>
      <c r="S653" s="17" t="str">
        <f t="shared" si="2550"/>
        <v>n/a</v>
      </c>
      <c r="T653" s="17" t="str">
        <f t="shared" si="2531"/>
        <v>n/a</v>
      </c>
      <c r="U653" s="17" t="str">
        <f t="shared" ref="U653:W653" si="2551">IFERROR(U728-T728,"n/a")</f>
        <v>n/a</v>
      </c>
      <c r="V653" s="17" t="str">
        <f t="shared" si="2551"/>
        <v>n/a</v>
      </c>
      <c r="W653" s="17" t="str">
        <f t="shared" si="2551"/>
        <v>n/a</v>
      </c>
      <c r="X653" s="17" t="str">
        <f t="shared" si="2533"/>
        <v>n/a</v>
      </c>
      <c r="Y653" s="17" t="str">
        <f t="shared" ref="Y653:AA653" si="2552">IFERROR(Y728-X728,"n/a")</f>
        <v>n/a</v>
      </c>
      <c r="Z653" s="17" t="str">
        <f t="shared" si="2552"/>
        <v>n/a</v>
      </c>
      <c r="AA653" s="17" t="str">
        <f t="shared" si="2552"/>
        <v>n/a</v>
      </c>
      <c r="AB653" s="17" t="str">
        <f t="shared" si="2535"/>
        <v>n/a</v>
      </c>
      <c r="AC653" s="17" t="str">
        <f t="shared" si="2524"/>
        <v>n/a</v>
      </c>
      <c r="AD653" s="17" t="str">
        <f t="shared" si="2524"/>
        <v>n/a</v>
      </c>
      <c r="AE653" s="17" t="str">
        <f t="shared" si="2524"/>
        <v>n/a</v>
      </c>
      <c r="AF653" s="17" t="str">
        <f t="shared" si="2536"/>
        <v>n/a</v>
      </c>
      <c r="AG653" s="17" t="str">
        <f t="shared" si="2524"/>
        <v>n/a</v>
      </c>
      <c r="AH653" s="17" t="str">
        <f t="shared" si="2524"/>
        <v>n/a</v>
      </c>
      <c r="AO653" s="11">
        <v>8.6679999999999993</v>
      </c>
      <c r="AP653" s="11">
        <v>0</v>
      </c>
      <c r="AQ653" s="11">
        <v>0</v>
      </c>
      <c r="AR653" s="11">
        <v>0</v>
      </c>
      <c r="AS653" s="11">
        <v>0</v>
      </c>
      <c r="AT653" s="11">
        <v>0</v>
      </c>
      <c r="AU653" s="11">
        <v>0</v>
      </c>
      <c r="AV653" s="17">
        <f t="shared" si="2537"/>
        <v>0</v>
      </c>
    </row>
    <row r="654" spans="2:48" x14ac:dyDescent="0.2">
      <c r="B654" t="s">
        <v>14</v>
      </c>
      <c r="H654" s="17" t="str">
        <f t="shared" si="2525"/>
        <v>n/a</v>
      </c>
      <c r="I654" s="17" t="str">
        <f t="shared" ref="I654:K654" si="2553">IFERROR(I729-H729,"n/a")</f>
        <v>n/a</v>
      </c>
      <c r="J654" s="17" t="str">
        <f t="shared" si="2553"/>
        <v>n/a</v>
      </c>
      <c r="K654" s="17" t="str">
        <f t="shared" si="2553"/>
        <v>n/a</v>
      </c>
      <c r="L654" s="17" t="str">
        <f t="shared" si="2527"/>
        <v>n/a</v>
      </c>
      <c r="M654" s="17" t="str">
        <f t="shared" ref="M654:O654" si="2554">IFERROR(M729-L729,"n/a")</f>
        <v>n/a</v>
      </c>
      <c r="N654" s="17" t="str">
        <f t="shared" si="2554"/>
        <v>n/a</v>
      </c>
      <c r="O654" s="17" t="str">
        <f t="shared" si="2554"/>
        <v>n/a</v>
      </c>
      <c r="P654" s="17" t="str">
        <f t="shared" si="2529"/>
        <v>n/a</v>
      </c>
      <c r="Q654" s="17" t="str">
        <f t="shared" ref="Q654:S654" si="2555">IFERROR(Q729-P729,"n/a")</f>
        <v>n/a</v>
      </c>
      <c r="R654" s="17" t="str">
        <f t="shared" si="2555"/>
        <v>n/a</v>
      </c>
      <c r="S654" s="17" t="str">
        <f t="shared" si="2555"/>
        <v>n/a</v>
      </c>
      <c r="T654" s="17" t="str">
        <f t="shared" si="2531"/>
        <v>n/a</v>
      </c>
      <c r="U654" s="17" t="str">
        <f t="shared" ref="U654:W654" si="2556">IFERROR(U729-T729,"n/a")</f>
        <v>n/a</v>
      </c>
      <c r="V654" s="17" t="str">
        <f t="shared" si="2556"/>
        <v>n/a</v>
      </c>
      <c r="W654" s="17" t="str">
        <f t="shared" si="2556"/>
        <v>n/a</v>
      </c>
      <c r="X654" s="17" t="str">
        <f t="shared" si="2533"/>
        <v>n/a</v>
      </c>
      <c r="Y654" s="17" t="str">
        <f t="shared" ref="Y654:AA654" si="2557">IFERROR(Y729-X729,"n/a")</f>
        <v>n/a</v>
      </c>
      <c r="Z654" s="17" t="str">
        <f t="shared" si="2557"/>
        <v>n/a</v>
      </c>
      <c r="AA654" s="17" t="str">
        <f t="shared" si="2557"/>
        <v>n/a</v>
      </c>
      <c r="AB654" s="17" t="str">
        <f t="shared" si="2535"/>
        <v>n/a</v>
      </c>
      <c r="AC654" s="17" t="str">
        <f t="shared" si="2524"/>
        <v>n/a</v>
      </c>
      <c r="AD654" s="17" t="str">
        <f t="shared" si="2524"/>
        <v>n/a</v>
      </c>
      <c r="AE654" s="17" t="str">
        <f t="shared" si="2524"/>
        <v>n/a</v>
      </c>
      <c r="AF654" s="17" t="str">
        <f t="shared" si="2536"/>
        <v>n/a</v>
      </c>
      <c r="AG654" s="17" t="str">
        <f t="shared" si="2524"/>
        <v>n/a</v>
      </c>
      <c r="AH654" s="17" t="str">
        <f t="shared" si="2524"/>
        <v>n/a</v>
      </c>
      <c r="AO654" s="11">
        <v>0</v>
      </c>
      <c r="AP654" s="11">
        <v>0</v>
      </c>
      <c r="AQ654" s="11">
        <v>0</v>
      </c>
      <c r="AR654" s="11">
        <v>145.858</v>
      </c>
      <c r="AS654" s="11">
        <v>757.33600000000001</v>
      </c>
      <c r="AT654" s="11">
        <v>1231.002</v>
      </c>
      <c r="AU654" s="11">
        <v>51.655000000000001</v>
      </c>
      <c r="AV654" s="17">
        <f t="shared" si="2537"/>
        <v>43.987000000000002</v>
      </c>
    </row>
    <row r="655" spans="2:48" x14ac:dyDescent="0.2">
      <c r="B655" t="s">
        <v>124</v>
      </c>
      <c r="H655" s="17" t="str">
        <f t="shared" si="2525"/>
        <v>n/a</v>
      </c>
      <c r="I655" s="17" t="str">
        <f t="shared" ref="I655:K655" si="2558">IFERROR(I730-H730,"n/a")</f>
        <v>n/a</v>
      </c>
      <c r="J655" s="17" t="str">
        <f t="shared" si="2558"/>
        <v>n/a</v>
      </c>
      <c r="K655" s="17" t="str">
        <f t="shared" si="2558"/>
        <v>n/a</v>
      </c>
      <c r="L655" s="17" t="str">
        <f t="shared" si="2527"/>
        <v>n/a</v>
      </c>
      <c r="M655" s="17" t="str">
        <f t="shared" ref="M655:O655" si="2559">IFERROR(M730-L730,"n/a")</f>
        <v>n/a</v>
      </c>
      <c r="N655" s="17" t="str">
        <f t="shared" si="2559"/>
        <v>n/a</v>
      </c>
      <c r="O655" s="17" t="str">
        <f t="shared" si="2559"/>
        <v>n/a</v>
      </c>
      <c r="P655" s="17" t="str">
        <f t="shared" si="2529"/>
        <v>n/a</v>
      </c>
      <c r="Q655" s="17" t="str">
        <f t="shared" ref="Q655:S655" si="2560">IFERROR(Q730-P730,"n/a")</f>
        <v>n/a</v>
      </c>
      <c r="R655" s="17" t="str">
        <f t="shared" si="2560"/>
        <v>n/a</v>
      </c>
      <c r="S655" s="17" t="str">
        <f t="shared" si="2560"/>
        <v>n/a</v>
      </c>
      <c r="T655" s="17" t="str">
        <f t="shared" si="2531"/>
        <v>n/a</v>
      </c>
      <c r="U655" s="17" t="str">
        <f t="shared" ref="U655:W655" si="2561">IFERROR(U730-T730,"n/a")</f>
        <v>n/a</v>
      </c>
      <c r="V655" s="17" t="str">
        <f t="shared" si="2561"/>
        <v>n/a</v>
      </c>
      <c r="W655" s="17" t="str">
        <f t="shared" si="2561"/>
        <v>n/a</v>
      </c>
      <c r="X655" s="17" t="str">
        <f t="shared" si="2533"/>
        <v>n/a</v>
      </c>
      <c r="Y655" s="17" t="str">
        <f t="shared" ref="Y655:AA655" si="2562">IFERROR(Y730-X730,"n/a")</f>
        <v>n/a</v>
      </c>
      <c r="Z655" s="17" t="str">
        <f t="shared" si="2562"/>
        <v>n/a</v>
      </c>
      <c r="AA655" s="17" t="str">
        <f t="shared" si="2562"/>
        <v>n/a</v>
      </c>
      <c r="AB655" s="17" t="str">
        <f t="shared" si="2535"/>
        <v>n/a</v>
      </c>
      <c r="AC655" s="17" t="str">
        <f t="shared" si="2524"/>
        <v>n/a</v>
      </c>
      <c r="AD655" s="17" t="str">
        <f t="shared" si="2524"/>
        <v>n/a</v>
      </c>
      <c r="AE655" s="17" t="str">
        <f t="shared" si="2524"/>
        <v>n/a</v>
      </c>
      <c r="AF655" s="17" t="str">
        <f t="shared" si="2536"/>
        <v>n/a</v>
      </c>
      <c r="AG655" s="17" t="str">
        <f t="shared" si="2524"/>
        <v>n/a</v>
      </c>
      <c r="AH655" s="17" t="str">
        <f t="shared" si="2524"/>
        <v>n/a</v>
      </c>
      <c r="AO655" s="11">
        <v>0</v>
      </c>
      <c r="AP655" s="11">
        <v>0</v>
      </c>
      <c r="AQ655" s="11">
        <v>0</v>
      </c>
      <c r="AR655" s="11">
        <v>11.782</v>
      </c>
      <c r="AS655" s="11">
        <v>43.433999999999997</v>
      </c>
      <c r="AT655" s="11">
        <v>49.3</v>
      </c>
      <c r="AU655" s="11">
        <v>118.384</v>
      </c>
      <c r="AV655" s="17">
        <f t="shared" si="2537"/>
        <v>265.15899999999999</v>
      </c>
    </row>
    <row r="656" spans="2:48" x14ac:dyDescent="0.2">
      <c r="B656" t="s">
        <v>13</v>
      </c>
      <c r="H656" s="17" t="str">
        <f t="shared" si="2525"/>
        <v>n/a</v>
      </c>
      <c r="I656" s="17" t="str">
        <f t="shared" ref="I656:K656" si="2563">IFERROR(I731-H731,"n/a")</f>
        <v>n/a</v>
      </c>
      <c r="J656" s="17" t="str">
        <f t="shared" si="2563"/>
        <v>n/a</v>
      </c>
      <c r="K656" s="17" t="str">
        <f t="shared" si="2563"/>
        <v>n/a</v>
      </c>
      <c r="L656" s="17" t="str">
        <f t="shared" si="2527"/>
        <v>n/a</v>
      </c>
      <c r="M656" s="17" t="str">
        <f t="shared" ref="M656:O656" si="2564">IFERROR(M731-L731,"n/a")</f>
        <v>n/a</v>
      </c>
      <c r="N656" s="17" t="str">
        <f t="shared" si="2564"/>
        <v>n/a</v>
      </c>
      <c r="O656" s="17" t="str">
        <f t="shared" si="2564"/>
        <v>n/a</v>
      </c>
      <c r="P656" s="17" t="str">
        <f t="shared" si="2529"/>
        <v>n/a</v>
      </c>
      <c r="Q656" s="17" t="str">
        <f t="shared" ref="Q656:S656" si="2565">IFERROR(Q731-P731,"n/a")</f>
        <v>n/a</v>
      </c>
      <c r="R656" s="17" t="str">
        <f t="shared" si="2565"/>
        <v>n/a</v>
      </c>
      <c r="S656" s="17" t="str">
        <f t="shared" si="2565"/>
        <v>n/a</v>
      </c>
      <c r="T656" s="17" t="str">
        <f t="shared" si="2531"/>
        <v>n/a</v>
      </c>
      <c r="U656" s="17" t="str">
        <f t="shared" ref="U656:W656" si="2566">IFERROR(U731-T731,"n/a")</f>
        <v>n/a</v>
      </c>
      <c r="V656" s="17" t="str">
        <f t="shared" si="2566"/>
        <v>n/a</v>
      </c>
      <c r="W656" s="17" t="str">
        <f t="shared" si="2566"/>
        <v>n/a</v>
      </c>
      <c r="X656" s="17" t="str">
        <f t="shared" si="2533"/>
        <v>n/a</v>
      </c>
      <c r="Y656" s="17" t="str">
        <f t="shared" ref="Y656:AA656" si="2567">IFERROR(Y731-X731,"n/a")</f>
        <v>n/a</v>
      </c>
      <c r="Z656" s="17" t="str">
        <f t="shared" si="2567"/>
        <v>n/a</v>
      </c>
      <c r="AA656" s="17" t="str">
        <f t="shared" si="2567"/>
        <v>n/a</v>
      </c>
      <c r="AB656" s="17" t="str">
        <f t="shared" si="2535"/>
        <v>n/a</v>
      </c>
      <c r="AC656" s="17" t="str">
        <f t="shared" si="2524"/>
        <v>n/a</v>
      </c>
      <c r="AD656" s="17" t="str">
        <f t="shared" si="2524"/>
        <v>n/a</v>
      </c>
      <c r="AE656" s="17" t="str">
        <f t="shared" si="2524"/>
        <v>n/a</v>
      </c>
      <c r="AF656" s="17" t="str">
        <f t="shared" si="2536"/>
        <v>n/a</v>
      </c>
      <c r="AG656" s="17" t="str">
        <f t="shared" si="2524"/>
        <v>n/a</v>
      </c>
      <c r="AH656" s="17" t="str">
        <f t="shared" si="2524"/>
        <v>n/a</v>
      </c>
      <c r="AO656" s="11">
        <v>0</v>
      </c>
      <c r="AP656" s="11">
        <v>-2.573</v>
      </c>
      <c r="AQ656" s="11">
        <v>-78.266999999999996</v>
      </c>
      <c r="AR656" s="11">
        <v>-209.58</v>
      </c>
      <c r="AS656" s="11">
        <v>-469.48599999999999</v>
      </c>
      <c r="AT656" s="11">
        <v>-146.97200000000001</v>
      </c>
      <c r="AU656" s="11">
        <v>-606.447</v>
      </c>
      <c r="AV656" s="17">
        <f t="shared" si="2537"/>
        <v>-1354.7850000000001</v>
      </c>
    </row>
    <row r="657" spans="2:48" x14ac:dyDescent="0.2">
      <c r="B657" t="s">
        <v>125</v>
      </c>
      <c r="H657" s="17" t="str">
        <f t="shared" si="2525"/>
        <v>n/a</v>
      </c>
      <c r="I657" s="17" t="str">
        <f t="shared" ref="I657:K657" si="2568">IFERROR(I732-H732,"n/a")</f>
        <v>n/a</v>
      </c>
      <c r="J657" s="17" t="str">
        <f t="shared" si="2568"/>
        <v>n/a</v>
      </c>
      <c r="K657" s="17" t="str">
        <f t="shared" si="2568"/>
        <v>n/a</v>
      </c>
      <c r="L657" s="17" t="str">
        <f t="shared" si="2527"/>
        <v>n/a</v>
      </c>
      <c r="M657" s="17" t="str">
        <f t="shared" ref="M657:O657" si="2569">IFERROR(M732-L732,"n/a")</f>
        <v>n/a</v>
      </c>
      <c r="N657" s="17" t="str">
        <f t="shared" si="2569"/>
        <v>n/a</v>
      </c>
      <c r="O657" s="17" t="str">
        <f t="shared" si="2569"/>
        <v>n/a</v>
      </c>
      <c r="P657" s="17" t="str">
        <f t="shared" si="2529"/>
        <v>n/a</v>
      </c>
      <c r="Q657" s="17" t="str">
        <f t="shared" ref="Q657:S657" si="2570">IFERROR(Q732-P732,"n/a")</f>
        <v>n/a</v>
      </c>
      <c r="R657" s="17" t="str">
        <f t="shared" si="2570"/>
        <v>n/a</v>
      </c>
      <c r="S657" s="17" t="str">
        <f t="shared" si="2570"/>
        <v>n/a</v>
      </c>
      <c r="T657" s="17" t="str">
        <f t="shared" si="2531"/>
        <v>n/a</v>
      </c>
      <c r="U657" s="17" t="str">
        <f t="shared" ref="U657:W657" si="2571">IFERROR(U732-T732,"n/a")</f>
        <v>n/a</v>
      </c>
      <c r="V657" s="17" t="str">
        <f t="shared" si="2571"/>
        <v>n/a</v>
      </c>
      <c r="W657" s="17" t="str">
        <f t="shared" si="2571"/>
        <v>n/a</v>
      </c>
      <c r="X657" s="17" t="str">
        <f t="shared" si="2533"/>
        <v>n/a</v>
      </c>
      <c r="Y657" s="17" t="str">
        <f t="shared" ref="Y657:AA657" si="2572">IFERROR(Y732-X732,"n/a")</f>
        <v>n/a</v>
      </c>
      <c r="Z657" s="17" t="str">
        <f t="shared" si="2572"/>
        <v>n/a</v>
      </c>
      <c r="AA657" s="17" t="str">
        <f t="shared" si="2572"/>
        <v>n/a</v>
      </c>
      <c r="AB657" s="17" t="str">
        <f t="shared" si="2535"/>
        <v>n/a</v>
      </c>
      <c r="AC657" s="17" t="str">
        <f t="shared" si="2524"/>
        <v>n/a</v>
      </c>
      <c r="AD657" s="17" t="str">
        <f t="shared" si="2524"/>
        <v>n/a</v>
      </c>
      <c r="AE657" s="17" t="str">
        <f t="shared" si="2524"/>
        <v>n/a</v>
      </c>
      <c r="AF657" s="17" t="str">
        <f t="shared" si="2536"/>
        <v>n/a</v>
      </c>
      <c r="AG657" s="17" t="str">
        <f t="shared" si="2524"/>
        <v>n/a</v>
      </c>
      <c r="AH657" s="17" t="str">
        <f t="shared" si="2524"/>
        <v>n/a</v>
      </c>
      <c r="AO657" s="11">
        <v>0</v>
      </c>
      <c r="AP657" s="11">
        <v>6.4000000000000001E-2</v>
      </c>
      <c r="AQ657" s="11">
        <v>1.2999999999999999E-2</v>
      </c>
      <c r="AR657" s="11">
        <v>0.17499999999999999</v>
      </c>
      <c r="AS657" s="11">
        <v>2.4E-2</v>
      </c>
      <c r="AT657" s="11">
        <v>-0.25800000000000001</v>
      </c>
      <c r="AU657" s="11">
        <v>10.696999999999999</v>
      </c>
      <c r="AV657" s="17">
        <f t="shared" si="2537"/>
        <v>1.7549999999999999</v>
      </c>
    </row>
    <row r="658" spans="2:48" x14ac:dyDescent="0.2">
      <c r="B658" t="s">
        <v>126</v>
      </c>
      <c r="H658" s="17" t="str">
        <f t="shared" si="2525"/>
        <v>n/a</v>
      </c>
      <c r="I658" s="17" t="str">
        <f t="shared" ref="I658:K658" si="2573">IFERROR(I733-H733,"n/a")</f>
        <v>n/a</v>
      </c>
      <c r="J658" s="17" t="str">
        <f t="shared" si="2573"/>
        <v>n/a</v>
      </c>
      <c r="K658" s="17" t="str">
        <f t="shared" si="2573"/>
        <v>n/a</v>
      </c>
      <c r="L658" s="17" t="str">
        <f t="shared" si="2527"/>
        <v>n/a</v>
      </c>
      <c r="M658" s="17" t="str">
        <f t="shared" ref="M658:O658" si="2574">IFERROR(M733-L733,"n/a")</f>
        <v>n/a</v>
      </c>
      <c r="N658" s="17" t="str">
        <f t="shared" si="2574"/>
        <v>n/a</v>
      </c>
      <c r="O658" s="17" t="str">
        <f t="shared" si="2574"/>
        <v>n/a</v>
      </c>
      <c r="P658" s="17" t="str">
        <f t="shared" si="2529"/>
        <v>n/a</v>
      </c>
      <c r="Q658" s="17" t="str">
        <f t="shared" ref="Q658:S658" si="2575">IFERROR(Q733-P733,"n/a")</f>
        <v>n/a</v>
      </c>
      <c r="R658" s="17" t="str">
        <f t="shared" si="2575"/>
        <v>n/a</v>
      </c>
      <c r="S658" s="17" t="str">
        <f t="shared" si="2575"/>
        <v>n/a</v>
      </c>
      <c r="T658" s="17" t="str">
        <f t="shared" si="2531"/>
        <v>n/a</v>
      </c>
      <c r="U658" s="17" t="str">
        <f t="shared" ref="U658:W658" si="2576">IFERROR(U733-T733,"n/a")</f>
        <v>n/a</v>
      </c>
      <c r="V658" s="17" t="str">
        <f t="shared" si="2576"/>
        <v>n/a</v>
      </c>
      <c r="W658" s="17" t="str">
        <f t="shared" si="2576"/>
        <v>n/a</v>
      </c>
      <c r="X658" s="17" t="str">
        <f t="shared" si="2533"/>
        <v>n/a</v>
      </c>
      <c r="Y658" s="17" t="str">
        <f t="shared" ref="Y658:AA658" si="2577">IFERROR(Y733-X733,"n/a")</f>
        <v>n/a</v>
      </c>
      <c r="Z658" s="17" t="str">
        <f t="shared" si="2577"/>
        <v>n/a</v>
      </c>
      <c r="AA658" s="17" t="str">
        <f t="shared" si="2577"/>
        <v>n/a</v>
      </c>
      <c r="AB658" s="17" t="str">
        <f t="shared" si="2535"/>
        <v>n/a</v>
      </c>
      <c r="AC658" s="17" t="str">
        <f t="shared" si="2524"/>
        <v>n/a</v>
      </c>
      <c r="AD658" s="17" t="str">
        <f t="shared" si="2524"/>
        <v>n/a</v>
      </c>
      <c r="AE658" s="17" t="str">
        <f t="shared" si="2524"/>
        <v>n/a</v>
      </c>
      <c r="AF658" s="17" t="str">
        <f t="shared" si="2536"/>
        <v>n/a</v>
      </c>
      <c r="AG658" s="17" t="str">
        <f t="shared" si="2524"/>
        <v>n/a</v>
      </c>
      <c r="AH658" s="17" t="str">
        <f t="shared" si="2524"/>
        <v>n/a</v>
      </c>
      <c r="AO658" s="11">
        <v>0</v>
      </c>
      <c r="AP658" s="11">
        <v>0</v>
      </c>
      <c r="AQ658" s="11">
        <v>0</v>
      </c>
      <c r="AR658" s="11">
        <v>0</v>
      </c>
      <c r="AS658" s="11">
        <v>0</v>
      </c>
      <c r="AT658" s="11">
        <v>-0.21299999999999999</v>
      </c>
      <c r="AU658" s="11">
        <v>-1028.586</v>
      </c>
      <c r="AV658" s="17">
        <f t="shared" si="2537"/>
        <v>801.1</v>
      </c>
    </row>
    <row r="659" spans="2:48" x14ac:dyDescent="0.2">
      <c r="B659" t="s">
        <v>127</v>
      </c>
      <c r="H659" s="17" t="str">
        <f t="shared" si="2525"/>
        <v>n/a</v>
      </c>
      <c r="I659" s="17" t="str">
        <f t="shared" ref="I659:K659" si="2578">IFERROR(I734-H734,"n/a")</f>
        <v>n/a</v>
      </c>
      <c r="J659" s="17" t="str">
        <f t="shared" si="2578"/>
        <v>n/a</v>
      </c>
      <c r="K659" s="17" t="str">
        <f t="shared" si="2578"/>
        <v>n/a</v>
      </c>
      <c r="L659" s="17" t="str">
        <f t="shared" si="2527"/>
        <v>n/a</v>
      </c>
      <c r="M659" s="17" t="str">
        <f t="shared" ref="M659:O659" si="2579">IFERROR(M734-L734,"n/a")</f>
        <v>n/a</v>
      </c>
      <c r="N659" s="17" t="str">
        <f t="shared" si="2579"/>
        <v>n/a</v>
      </c>
      <c r="O659" s="17" t="str">
        <f t="shared" si="2579"/>
        <v>n/a</v>
      </c>
      <c r="P659" s="17" t="str">
        <f t="shared" si="2529"/>
        <v>n/a</v>
      </c>
      <c r="Q659" s="17" t="str">
        <f t="shared" ref="Q659:S659" si="2580">IFERROR(Q734-P734,"n/a")</f>
        <v>n/a</v>
      </c>
      <c r="R659" s="17" t="str">
        <f t="shared" si="2580"/>
        <v>n/a</v>
      </c>
      <c r="S659" s="17" t="str">
        <f t="shared" si="2580"/>
        <v>n/a</v>
      </c>
      <c r="T659" s="17" t="str">
        <f t="shared" si="2531"/>
        <v>n/a</v>
      </c>
      <c r="U659" s="17" t="str">
        <f t="shared" ref="U659:W659" si="2581">IFERROR(U734-T734,"n/a")</f>
        <v>n/a</v>
      </c>
      <c r="V659" s="17" t="str">
        <f t="shared" si="2581"/>
        <v>n/a</v>
      </c>
      <c r="W659" s="17" t="str">
        <f t="shared" si="2581"/>
        <v>n/a</v>
      </c>
      <c r="X659" s="17" t="str">
        <f t="shared" si="2533"/>
        <v>n/a</v>
      </c>
      <c r="Y659" s="17" t="str">
        <f t="shared" ref="Y659:AA659" si="2582">IFERROR(Y734-X734,"n/a")</f>
        <v>n/a</v>
      </c>
      <c r="Z659" s="17" t="str">
        <f t="shared" si="2582"/>
        <v>n/a</v>
      </c>
      <c r="AA659" s="17" t="str">
        <f t="shared" si="2582"/>
        <v>n/a</v>
      </c>
      <c r="AB659" s="17" t="str">
        <f t="shared" si="2535"/>
        <v>n/a</v>
      </c>
      <c r="AC659" s="17" t="str">
        <f t="shared" si="2524"/>
        <v>n/a</v>
      </c>
      <c r="AD659" s="17" t="str">
        <f t="shared" si="2524"/>
        <v>n/a</v>
      </c>
      <c r="AE659" s="17" t="str">
        <f t="shared" si="2524"/>
        <v>n/a</v>
      </c>
      <c r="AF659" s="17" t="str">
        <f t="shared" si="2536"/>
        <v>n/a</v>
      </c>
      <c r="AG659" s="17" t="str">
        <f t="shared" si="2524"/>
        <v>n/a</v>
      </c>
      <c r="AH659" s="17" t="str">
        <f t="shared" si="2524"/>
        <v>n/a</v>
      </c>
      <c r="AO659" s="11">
        <v>0</v>
      </c>
      <c r="AP659" s="11">
        <v>0</v>
      </c>
      <c r="AQ659" s="11">
        <v>0</v>
      </c>
      <c r="AR659" s="11">
        <v>-5.38</v>
      </c>
      <c r="AS659" s="11">
        <v>-225.197</v>
      </c>
      <c r="AT659" s="11">
        <v>-71.75</v>
      </c>
      <c r="AU659" s="11">
        <v>149.71</v>
      </c>
      <c r="AV659" s="17">
        <f t="shared" si="2537"/>
        <v>-35.720999999999997</v>
      </c>
    </row>
    <row r="660" spans="2:48" x14ac:dyDescent="0.2">
      <c r="B660" t="s">
        <v>128</v>
      </c>
      <c r="H660" s="17" t="str">
        <f t="shared" si="2525"/>
        <v>n/a</v>
      </c>
      <c r="I660" s="17" t="str">
        <f t="shared" ref="I660:K660" si="2583">IFERROR(I735-H735,"n/a")</f>
        <v>n/a</v>
      </c>
      <c r="J660" s="17" t="str">
        <f t="shared" si="2583"/>
        <v>n/a</v>
      </c>
      <c r="K660" s="17" t="str">
        <f t="shared" si="2583"/>
        <v>n/a</v>
      </c>
      <c r="L660" s="17" t="str">
        <f t="shared" si="2527"/>
        <v>n/a</v>
      </c>
      <c r="M660" s="17" t="str">
        <f t="shared" ref="M660:O660" si="2584">IFERROR(M735-L735,"n/a")</f>
        <v>n/a</v>
      </c>
      <c r="N660" s="17" t="str">
        <f t="shared" si="2584"/>
        <v>n/a</v>
      </c>
      <c r="O660" s="17" t="str">
        <f t="shared" si="2584"/>
        <v>n/a</v>
      </c>
      <c r="P660" s="17" t="str">
        <f t="shared" si="2529"/>
        <v>n/a</v>
      </c>
      <c r="Q660" s="17" t="str">
        <f t="shared" ref="Q660:S660" si="2585">IFERROR(Q735-P735,"n/a")</f>
        <v>n/a</v>
      </c>
      <c r="R660" s="17" t="str">
        <f t="shared" si="2585"/>
        <v>n/a</v>
      </c>
      <c r="S660" s="17" t="str">
        <f t="shared" si="2585"/>
        <v>n/a</v>
      </c>
      <c r="T660" s="17" t="str">
        <f t="shared" si="2531"/>
        <v>n/a</v>
      </c>
      <c r="U660" s="17" t="str">
        <f t="shared" ref="U660:W660" si="2586">IFERROR(U735-T735,"n/a")</f>
        <v>n/a</v>
      </c>
      <c r="V660" s="17" t="str">
        <f t="shared" si="2586"/>
        <v>n/a</v>
      </c>
      <c r="W660" s="17" t="str">
        <f t="shared" si="2586"/>
        <v>n/a</v>
      </c>
      <c r="X660" s="17" t="str">
        <f t="shared" si="2533"/>
        <v>n/a</v>
      </c>
      <c r="Y660" s="17" t="str">
        <f t="shared" ref="Y660:AA660" si="2587">IFERROR(Y735-X735,"n/a")</f>
        <v>n/a</v>
      </c>
      <c r="Z660" s="17" t="str">
        <f t="shared" si="2587"/>
        <v>n/a</v>
      </c>
      <c r="AA660" s="17" t="str">
        <f t="shared" si="2587"/>
        <v>n/a</v>
      </c>
      <c r="AB660" s="17" t="str">
        <f t="shared" si="2535"/>
        <v>n/a</v>
      </c>
      <c r="AC660" s="17" t="str">
        <f t="shared" si="2524"/>
        <v>n/a</v>
      </c>
      <c r="AD660" s="17" t="str">
        <f t="shared" si="2524"/>
        <v>n/a</v>
      </c>
      <c r="AE660" s="17" t="str">
        <f t="shared" si="2524"/>
        <v>n/a</v>
      </c>
      <c r="AF660" s="17" t="str">
        <f t="shared" si="2536"/>
        <v>n/a</v>
      </c>
      <c r="AG660" s="17" t="str">
        <f t="shared" si="2524"/>
        <v>n/a</v>
      </c>
      <c r="AH660" s="17" t="str">
        <f t="shared" si="2524"/>
        <v>n/a</v>
      </c>
      <c r="AO660" s="11">
        <v>0</v>
      </c>
      <c r="AP660" s="11">
        <v>0</v>
      </c>
      <c r="AQ660" s="11">
        <v>0</v>
      </c>
      <c r="AR660" s="11">
        <v>-28.675999999999998</v>
      </c>
      <c r="AS660" s="11">
        <v>-83.653999999999996</v>
      </c>
      <c r="AT660" s="11">
        <v>-246.828</v>
      </c>
      <c r="AU660" s="11">
        <v>155.285</v>
      </c>
      <c r="AV660" s="17">
        <f t="shared" si="2537"/>
        <v>4.7069999999999999</v>
      </c>
    </row>
    <row r="661" spans="2:48" x14ac:dyDescent="0.2">
      <c r="B661" t="s">
        <v>129</v>
      </c>
      <c r="H661" s="17" t="str">
        <f t="shared" si="2525"/>
        <v>n/a</v>
      </c>
      <c r="I661" s="17" t="str">
        <f t="shared" ref="I661:K661" si="2588">IFERROR(I736-H736,"n/a")</f>
        <v>n/a</v>
      </c>
      <c r="J661" s="17" t="str">
        <f t="shared" si="2588"/>
        <v>n/a</v>
      </c>
      <c r="K661" s="17" t="str">
        <f t="shared" si="2588"/>
        <v>n/a</v>
      </c>
      <c r="L661" s="17" t="str">
        <f t="shared" si="2527"/>
        <v>n/a</v>
      </c>
      <c r="M661" s="17" t="str">
        <f t="shared" ref="M661:O661" si="2589">IFERROR(M736-L736,"n/a")</f>
        <v>n/a</v>
      </c>
      <c r="N661" s="17" t="str">
        <f t="shared" si="2589"/>
        <v>n/a</v>
      </c>
      <c r="O661" s="17" t="str">
        <f t="shared" si="2589"/>
        <v>n/a</v>
      </c>
      <c r="P661" s="17" t="str">
        <f t="shared" si="2529"/>
        <v>n/a</v>
      </c>
      <c r="Q661" s="17" t="str">
        <f t="shared" ref="Q661:S661" si="2590">IFERROR(Q736-P736,"n/a")</f>
        <v>n/a</v>
      </c>
      <c r="R661" s="17" t="str">
        <f t="shared" si="2590"/>
        <v>n/a</v>
      </c>
      <c r="S661" s="17" t="str">
        <f t="shared" si="2590"/>
        <v>n/a</v>
      </c>
      <c r="T661" s="17" t="str">
        <f t="shared" si="2531"/>
        <v>n/a</v>
      </c>
      <c r="U661" s="17" t="str">
        <f t="shared" ref="U661:W661" si="2591">IFERROR(U736-T736,"n/a")</f>
        <v>n/a</v>
      </c>
      <c r="V661" s="17" t="str">
        <f t="shared" si="2591"/>
        <v>n/a</v>
      </c>
      <c r="W661" s="17" t="str">
        <f t="shared" si="2591"/>
        <v>n/a</v>
      </c>
      <c r="X661" s="17" t="str">
        <f t="shared" si="2533"/>
        <v>n/a</v>
      </c>
      <c r="Y661" s="17" t="str">
        <f t="shared" ref="Y661:AA661" si="2592">IFERROR(Y736-X736,"n/a")</f>
        <v>n/a</v>
      </c>
      <c r="Z661" s="17" t="str">
        <f t="shared" si="2592"/>
        <v>n/a</v>
      </c>
      <c r="AA661" s="17" t="str">
        <f t="shared" si="2592"/>
        <v>n/a</v>
      </c>
      <c r="AB661" s="17" t="str">
        <f t="shared" si="2535"/>
        <v>n/a</v>
      </c>
      <c r="AC661" s="17" t="str">
        <f t="shared" si="2524"/>
        <v>n/a</v>
      </c>
      <c r="AD661" s="17" t="str">
        <f t="shared" si="2524"/>
        <v>n/a</v>
      </c>
      <c r="AE661" s="17" t="str">
        <f t="shared" si="2524"/>
        <v>n/a</v>
      </c>
      <c r="AF661" s="17" t="str">
        <f t="shared" si="2536"/>
        <v>n/a</v>
      </c>
      <c r="AG661" s="17" t="str">
        <f t="shared" si="2524"/>
        <v>n/a</v>
      </c>
      <c r="AH661" s="17" t="str">
        <f t="shared" si="2524"/>
        <v>n/a</v>
      </c>
      <c r="AO661" s="11">
        <v>0</v>
      </c>
      <c r="AP661" s="11">
        <v>0</v>
      </c>
      <c r="AQ661" s="11">
        <v>0</v>
      </c>
      <c r="AR661" s="11">
        <v>0</v>
      </c>
      <c r="AS661" s="11">
        <v>-104.068</v>
      </c>
      <c r="AT661" s="11">
        <v>22.17</v>
      </c>
      <c r="AU661" s="11">
        <v>242.23599999999999</v>
      </c>
      <c r="AV661" s="17">
        <f t="shared" si="2537"/>
        <v>-1013.475</v>
      </c>
    </row>
    <row r="662" spans="2:48" x14ac:dyDescent="0.2">
      <c r="B662" t="s">
        <v>130</v>
      </c>
      <c r="H662" s="17" t="str">
        <f t="shared" si="2525"/>
        <v>n/a</v>
      </c>
      <c r="I662" s="17" t="str">
        <f t="shared" ref="I662:K662" si="2593">IFERROR(I737-H737,"n/a")</f>
        <v>n/a</v>
      </c>
      <c r="J662" s="17" t="str">
        <f t="shared" si="2593"/>
        <v>n/a</v>
      </c>
      <c r="K662" s="17" t="str">
        <f t="shared" si="2593"/>
        <v>n/a</v>
      </c>
      <c r="L662" s="17" t="str">
        <f t="shared" si="2527"/>
        <v>n/a</v>
      </c>
      <c r="M662" s="17" t="str">
        <f t="shared" ref="M662:O662" si="2594">IFERROR(M737-L737,"n/a")</f>
        <v>n/a</v>
      </c>
      <c r="N662" s="17" t="str">
        <f t="shared" si="2594"/>
        <v>n/a</v>
      </c>
      <c r="O662" s="17" t="str">
        <f t="shared" si="2594"/>
        <v>n/a</v>
      </c>
      <c r="P662" s="17" t="str">
        <f t="shared" si="2529"/>
        <v>n/a</v>
      </c>
      <c r="Q662" s="17" t="str">
        <f t="shared" ref="Q662:S662" si="2595">IFERROR(Q737-P737,"n/a")</f>
        <v>n/a</v>
      </c>
      <c r="R662" s="17" t="str">
        <f t="shared" si="2595"/>
        <v>n/a</v>
      </c>
      <c r="S662" s="17" t="str">
        <f t="shared" si="2595"/>
        <v>n/a</v>
      </c>
      <c r="T662" s="17" t="str">
        <f t="shared" si="2531"/>
        <v>n/a</v>
      </c>
      <c r="U662" s="17" t="str">
        <f t="shared" ref="U662:W662" si="2596">IFERROR(U737-T737,"n/a")</f>
        <v>n/a</v>
      </c>
      <c r="V662" s="17" t="str">
        <f t="shared" si="2596"/>
        <v>n/a</v>
      </c>
      <c r="W662" s="17" t="str">
        <f t="shared" si="2596"/>
        <v>n/a</v>
      </c>
      <c r="X662" s="17" t="str">
        <f t="shared" si="2533"/>
        <v>n/a</v>
      </c>
      <c r="Y662" s="17" t="str">
        <f t="shared" ref="Y662:AA662" si="2597">IFERROR(Y737-X737,"n/a")</f>
        <v>n/a</v>
      </c>
      <c r="Z662" s="17" t="str">
        <f t="shared" si="2597"/>
        <v>n/a</v>
      </c>
      <c r="AA662" s="17" t="str">
        <f t="shared" si="2597"/>
        <v>n/a</v>
      </c>
      <c r="AB662" s="17" t="str">
        <f t="shared" si="2535"/>
        <v>n/a</v>
      </c>
      <c r="AC662" s="17" t="str">
        <f t="shared" si="2524"/>
        <v>n/a</v>
      </c>
      <c r="AD662" s="17" t="str">
        <f t="shared" si="2524"/>
        <v>n/a</v>
      </c>
      <c r="AE662" s="17" t="str">
        <f t="shared" si="2524"/>
        <v>n/a</v>
      </c>
      <c r="AF662" s="17" t="str">
        <f t="shared" si="2536"/>
        <v>n/a</v>
      </c>
      <c r="AG662" s="17" t="str">
        <f t="shared" si="2524"/>
        <v>n/a</v>
      </c>
      <c r="AH662" s="17" t="str">
        <f t="shared" si="2524"/>
        <v>n/a</v>
      </c>
      <c r="AO662" s="11">
        <v>0</v>
      </c>
      <c r="AP662" s="11">
        <v>0</v>
      </c>
      <c r="AQ662" s="11">
        <v>0</v>
      </c>
      <c r="AR662" s="11">
        <v>0</v>
      </c>
      <c r="AS662" s="11">
        <v>-5.1879999999999997</v>
      </c>
      <c r="AT662" s="11">
        <v>-2.7879999999999998</v>
      </c>
      <c r="AU662" s="11">
        <v>0</v>
      </c>
      <c r="AV662" s="17">
        <f t="shared" si="2537"/>
        <v>0</v>
      </c>
    </row>
    <row r="663" spans="2:48" x14ac:dyDescent="0.2">
      <c r="B663" t="s">
        <v>76</v>
      </c>
      <c r="H663" s="17" t="str">
        <f t="shared" si="2525"/>
        <v>n/a</v>
      </c>
      <c r="I663" s="17" t="str">
        <f t="shared" ref="I663:K665" si="2598">IFERROR(I738-H738,"n/a")</f>
        <v>n/a</v>
      </c>
      <c r="J663" s="17" t="str">
        <f t="shared" si="2598"/>
        <v>n/a</v>
      </c>
      <c r="K663" s="17" t="str">
        <f t="shared" si="2598"/>
        <v>n/a</v>
      </c>
      <c r="L663" s="17" t="str">
        <f t="shared" si="2527"/>
        <v>n/a</v>
      </c>
      <c r="M663" s="17" t="str">
        <f t="shared" ref="M663:O663" si="2599">IFERROR(M738-L738,"n/a")</f>
        <v>n/a</v>
      </c>
      <c r="N663" s="17" t="str">
        <f t="shared" si="2599"/>
        <v>n/a</v>
      </c>
      <c r="O663" s="17" t="str">
        <f t="shared" si="2599"/>
        <v>n/a</v>
      </c>
      <c r="P663" s="17" t="str">
        <f t="shared" si="2529"/>
        <v>n/a</v>
      </c>
      <c r="Q663" s="17" t="str">
        <f t="shared" ref="Q663:S663" si="2600">IFERROR(Q738-P738,"n/a")</f>
        <v>n/a</v>
      </c>
      <c r="R663" s="17" t="str">
        <f t="shared" si="2600"/>
        <v>n/a</v>
      </c>
      <c r="S663" s="17" t="str">
        <f t="shared" si="2600"/>
        <v>n/a</v>
      </c>
      <c r="T663" s="17" t="str">
        <f t="shared" si="2531"/>
        <v>n/a</v>
      </c>
      <c r="U663" s="17" t="str">
        <f t="shared" ref="U663:W663" si="2601">IFERROR(U738-T738,"n/a")</f>
        <v>n/a</v>
      </c>
      <c r="V663" s="17" t="str">
        <f t="shared" si="2601"/>
        <v>n/a</v>
      </c>
      <c r="W663" s="17" t="str">
        <f t="shared" si="2601"/>
        <v>n/a</v>
      </c>
      <c r="X663" s="17" t="str">
        <f t="shared" si="2533"/>
        <v>n/a</v>
      </c>
      <c r="Y663" s="17" t="str">
        <f t="shared" ref="Y663:AA663" si="2602">IFERROR(Y738-X738,"n/a")</f>
        <v>n/a</v>
      </c>
      <c r="Z663" s="17" t="str">
        <f t="shared" si="2602"/>
        <v>n/a</v>
      </c>
      <c r="AA663" s="17" t="str">
        <f t="shared" si="2602"/>
        <v>n/a</v>
      </c>
      <c r="AB663" s="17" t="str">
        <f t="shared" si="2535"/>
        <v>n/a</v>
      </c>
      <c r="AC663" s="17" t="str">
        <f t="shared" si="2524"/>
        <v>n/a</v>
      </c>
      <c r="AD663" s="17" t="str">
        <f t="shared" si="2524"/>
        <v>n/a</v>
      </c>
      <c r="AE663" s="17" t="str">
        <f t="shared" si="2524"/>
        <v>n/a</v>
      </c>
      <c r="AF663" s="17" t="str">
        <f t="shared" si="2536"/>
        <v>n/a</v>
      </c>
      <c r="AG663" s="17" t="str">
        <f t="shared" si="2524"/>
        <v>n/a</v>
      </c>
      <c r="AH663" s="17" t="str">
        <f t="shared" si="2524"/>
        <v>n/a</v>
      </c>
      <c r="AO663" s="11">
        <v>4.0640000000000001</v>
      </c>
      <c r="AP663" s="11">
        <v>13.38</v>
      </c>
      <c r="AQ663" s="11">
        <v>6841.5730000000003</v>
      </c>
      <c r="AR663" s="11">
        <v>2557.7060000000001</v>
      </c>
      <c r="AS663" s="11">
        <v>3613.0430000000001</v>
      </c>
      <c r="AT663" s="11">
        <v>4774.7299999999996</v>
      </c>
      <c r="AU663" s="11">
        <v>7718.3649999999998</v>
      </c>
      <c r="AV663" s="17">
        <f t="shared" si="2537"/>
        <v>7078.7939999999999</v>
      </c>
    </row>
    <row r="664" spans="2:48" x14ac:dyDescent="0.2">
      <c r="B664" t="s">
        <v>171</v>
      </c>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O664" s="14"/>
      <c r="AP664" s="14"/>
      <c r="AQ664" s="14"/>
      <c r="AR664" s="14"/>
      <c r="AS664" s="14"/>
      <c r="AT664" s="14"/>
      <c r="AU664" s="14"/>
      <c r="AV664" s="14"/>
    </row>
    <row r="665" spans="2:48" x14ac:dyDescent="0.2">
      <c r="B665" s="4" t="s">
        <v>131</v>
      </c>
      <c r="H665" s="17" t="str">
        <f t="shared" si="2525"/>
        <v>n/a</v>
      </c>
      <c r="I665" s="17" t="str">
        <f t="shared" si="2598"/>
        <v>n/a</v>
      </c>
      <c r="J665" s="17" t="str">
        <f t="shared" si="2598"/>
        <v>n/a</v>
      </c>
      <c r="K665" s="17" t="str">
        <f t="shared" si="2598"/>
        <v>n/a</v>
      </c>
      <c r="L665" s="17" t="str">
        <f t="shared" si="2527"/>
        <v>n/a</v>
      </c>
      <c r="M665" s="17" t="str">
        <f t="shared" ref="M665:O665" si="2603">IFERROR(M740-L740,"n/a")</f>
        <v>n/a</v>
      </c>
      <c r="N665" s="17" t="str">
        <f t="shared" si="2603"/>
        <v>n/a</v>
      </c>
      <c r="O665" s="17" t="str">
        <f t="shared" si="2603"/>
        <v>n/a</v>
      </c>
      <c r="P665" s="17" t="str">
        <f t="shared" si="2529"/>
        <v>n/a</v>
      </c>
      <c r="Q665" s="17" t="str">
        <f t="shared" ref="Q665:S665" si="2604">IFERROR(Q740-P740,"n/a")</f>
        <v>n/a</v>
      </c>
      <c r="R665" s="17" t="str">
        <f t="shared" si="2604"/>
        <v>n/a</v>
      </c>
      <c r="S665" s="17" t="str">
        <f t="shared" si="2604"/>
        <v>n/a</v>
      </c>
      <c r="T665" s="17" t="str">
        <f t="shared" si="2531"/>
        <v>n/a</v>
      </c>
      <c r="U665" s="17" t="str">
        <f t="shared" ref="U665:W665" si="2605">IFERROR(U740-T740,"n/a")</f>
        <v>n/a</v>
      </c>
      <c r="V665" s="17" t="str">
        <f t="shared" si="2605"/>
        <v>n/a</v>
      </c>
      <c r="W665" s="17" t="str">
        <f t="shared" si="2605"/>
        <v>n/a</v>
      </c>
      <c r="X665" s="17" t="str">
        <f t="shared" si="2533"/>
        <v>n/a</v>
      </c>
      <c r="Y665" s="17" t="str">
        <f t="shared" ref="Y665:AA665" si="2606">IFERROR(Y740-X740,"n/a")</f>
        <v>n/a</v>
      </c>
      <c r="Z665" s="17" t="str">
        <f t="shared" si="2606"/>
        <v>n/a</v>
      </c>
      <c r="AA665" s="17" t="str">
        <f t="shared" si="2606"/>
        <v>n/a</v>
      </c>
      <c r="AB665" s="17" t="str">
        <f t="shared" si="2535"/>
        <v>n/a</v>
      </c>
      <c r="AC665" s="17" t="str">
        <f t="shared" ref="AC665:AH676" si="2607">IFERROR(AC740-AB740,"n/a")</f>
        <v>n/a</v>
      </c>
      <c r="AD665" s="17" t="str">
        <f t="shared" si="2607"/>
        <v>n/a</v>
      </c>
      <c r="AE665" s="17" t="str">
        <f t="shared" si="2607"/>
        <v>n/a</v>
      </c>
      <c r="AF665" s="17" t="str">
        <f t="shared" si="2536"/>
        <v>n/a</v>
      </c>
      <c r="AG665" s="17" t="str">
        <f t="shared" si="2607"/>
        <v>n/a</v>
      </c>
      <c r="AH665" s="17" t="str">
        <f t="shared" si="2607"/>
        <v>n/a</v>
      </c>
      <c r="AO665" s="11">
        <v>0</v>
      </c>
      <c r="AP665" s="11">
        <v>-9370.8490000000002</v>
      </c>
      <c r="AQ665" s="11">
        <v>0</v>
      </c>
      <c r="AR665" s="11">
        <v>0</v>
      </c>
      <c r="AS665" s="11">
        <v>0</v>
      </c>
      <c r="AT665" s="11">
        <v>0</v>
      </c>
      <c r="AU665" s="11">
        <v>0</v>
      </c>
      <c r="AV665" s="17">
        <f t="shared" si="2537"/>
        <v>0</v>
      </c>
    </row>
    <row r="666" spans="2:48" x14ac:dyDescent="0.2">
      <c r="B666" s="4" t="s">
        <v>132</v>
      </c>
      <c r="H666" s="17" t="str">
        <f t="shared" si="2525"/>
        <v>n/a</v>
      </c>
      <c r="I666" s="17" t="str">
        <f t="shared" ref="I666:K666" si="2608">IFERROR(I741-H741,"n/a")</f>
        <v>n/a</v>
      </c>
      <c r="J666" s="17" t="str">
        <f t="shared" si="2608"/>
        <v>n/a</v>
      </c>
      <c r="K666" s="17" t="str">
        <f t="shared" si="2608"/>
        <v>n/a</v>
      </c>
      <c r="L666" s="17" t="str">
        <f t="shared" si="2527"/>
        <v>n/a</v>
      </c>
      <c r="M666" s="17" t="str">
        <f t="shared" ref="M666:O666" si="2609">IFERROR(M741-L741,"n/a")</f>
        <v>n/a</v>
      </c>
      <c r="N666" s="17" t="str">
        <f t="shared" si="2609"/>
        <v>n/a</v>
      </c>
      <c r="O666" s="17" t="str">
        <f t="shared" si="2609"/>
        <v>n/a</v>
      </c>
      <c r="P666" s="17" t="str">
        <f t="shared" si="2529"/>
        <v>n/a</v>
      </c>
      <c r="Q666" s="17" t="str">
        <f t="shared" ref="Q666:S666" si="2610">IFERROR(Q741-P741,"n/a")</f>
        <v>n/a</v>
      </c>
      <c r="R666" s="17" t="str">
        <f t="shared" si="2610"/>
        <v>n/a</v>
      </c>
      <c r="S666" s="17" t="str">
        <f t="shared" si="2610"/>
        <v>n/a</v>
      </c>
      <c r="T666" s="17" t="str">
        <f t="shared" si="2531"/>
        <v>n/a</v>
      </c>
      <c r="U666" s="17" t="str">
        <f t="shared" ref="U666:W666" si="2611">IFERROR(U741-T741,"n/a")</f>
        <v>n/a</v>
      </c>
      <c r="V666" s="17" t="str">
        <f t="shared" si="2611"/>
        <v>n/a</v>
      </c>
      <c r="W666" s="17" t="str">
        <f t="shared" si="2611"/>
        <v>n/a</v>
      </c>
      <c r="X666" s="17" t="str">
        <f t="shared" si="2533"/>
        <v>n/a</v>
      </c>
      <c r="Y666" s="17" t="str">
        <f t="shared" ref="Y666:AA666" si="2612">IFERROR(Y741-X741,"n/a")</f>
        <v>n/a</v>
      </c>
      <c r="Z666" s="17" t="str">
        <f t="shared" si="2612"/>
        <v>n/a</v>
      </c>
      <c r="AA666" s="17" t="str">
        <f t="shared" si="2612"/>
        <v>n/a</v>
      </c>
      <c r="AB666" s="17" t="str">
        <f t="shared" si="2535"/>
        <v>n/a</v>
      </c>
      <c r="AC666" s="17" t="str">
        <f t="shared" si="2607"/>
        <v>n/a</v>
      </c>
      <c r="AD666" s="17" t="str">
        <f t="shared" si="2607"/>
        <v>n/a</v>
      </c>
      <c r="AE666" s="17" t="str">
        <f t="shared" si="2607"/>
        <v>n/a</v>
      </c>
      <c r="AF666" s="17" t="str">
        <f t="shared" si="2536"/>
        <v>n/a</v>
      </c>
      <c r="AG666" s="17" t="str">
        <f t="shared" si="2607"/>
        <v>n/a</v>
      </c>
      <c r="AH666" s="17" t="str">
        <f t="shared" si="2607"/>
        <v>n/a</v>
      </c>
      <c r="AO666" s="11">
        <v>-8.3160000000000007</v>
      </c>
      <c r="AP666" s="11">
        <v>-77.891000000000005</v>
      </c>
      <c r="AQ666" s="11">
        <v>-159.41300000000001</v>
      </c>
      <c r="AR666" s="11">
        <v>-803.38800000000003</v>
      </c>
      <c r="AS666" s="11">
        <v>321.42599999999999</v>
      </c>
      <c r="AT666" s="11">
        <v>55.811</v>
      </c>
      <c r="AU666" s="11">
        <v>86.040999999999997</v>
      </c>
      <c r="AV666" s="17">
        <f t="shared" si="2537"/>
        <v>-3326.4209999999998</v>
      </c>
    </row>
    <row r="667" spans="2:48" x14ac:dyDescent="0.2">
      <c r="B667" s="4" t="s">
        <v>133</v>
      </c>
      <c r="H667" s="17" t="str">
        <f t="shared" si="2525"/>
        <v>n/a</v>
      </c>
      <c r="I667" s="17" t="str">
        <f t="shared" ref="I667:K667" si="2613">IFERROR(I742-H742,"n/a")</f>
        <v>n/a</v>
      </c>
      <c r="J667" s="17" t="str">
        <f t="shared" si="2613"/>
        <v>n/a</v>
      </c>
      <c r="K667" s="17" t="str">
        <f t="shared" si="2613"/>
        <v>n/a</v>
      </c>
      <c r="L667" s="17" t="str">
        <f t="shared" si="2527"/>
        <v>n/a</v>
      </c>
      <c r="M667" s="17" t="str">
        <f t="shared" ref="M667:O667" si="2614">IFERROR(M742-L742,"n/a")</f>
        <v>n/a</v>
      </c>
      <c r="N667" s="17" t="str">
        <f t="shared" si="2614"/>
        <v>n/a</v>
      </c>
      <c r="O667" s="17" t="str">
        <f t="shared" si="2614"/>
        <v>n/a</v>
      </c>
      <c r="P667" s="17" t="str">
        <f t="shared" si="2529"/>
        <v>n/a</v>
      </c>
      <c r="Q667" s="17" t="str">
        <f t="shared" ref="Q667:S667" si="2615">IFERROR(Q742-P742,"n/a")</f>
        <v>n/a</v>
      </c>
      <c r="R667" s="17" t="str">
        <f t="shared" si="2615"/>
        <v>n/a</v>
      </c>
      <c r="S667" s="17" t="str">
        <f t="shared" si="2615"/>
        <v>n/a</v>
      </c>
      <c r="T667" s="17" t="str">
        <f t="shared" si="2531"/>
        <v>n/a</v>
      </c>
      <c r="U667" s="17" t="str">
        <f t="shared" ref="U667:W667" si="2616">IFERROR(U742-T742,"n/a")</f>
        <v>n/a</v>
      </c>
      <c r="V667" s="17" t="str">
        <f t="shared" si="2616"/>
        <v>n/a</v>
      </c>
      <c r="W667" s="17" t="str">
        <f t="shared" si="2616"/>
        <v>n/a</v>
      </c>
      <c r="X667" s="17" t="str">
        <f t="shared" si="2533"/>
        <v>n/a</v>
      </c>
      <c r="Y667" s="17" t="str">
        <f t="shared" ref="Y667:AA667" si="2617">IFERROR(Y742-X742,"n/a")</f>
        <v>n/a</v>
      </c>
      <c r="Z667" s="17" t="str">
        <f t="shared" si="2617"/>
        <v>n/a</v>
      </c>
      <c r="AA667" s="17" t="str">
        <f t="shared" si="2617"/>
        <v>n/a</v>
      </c>
      <c r="AB667" s="17" t="str">
        <f t="shared" si="2535"/>
        <v>n/a</v>
      </c>
      <c r="AC667" s="17" t="str">
        <f t="shared" si="2607"/>
        <v>n/a</v>
      </c>
      <c r="AD667" s="17" t="str">
        <f t="shared" si="2607"/>
        <v>n/a</v>
      </c>
      <c r="AE667" s="17" t="str">
        <f t="shared" si="2607"/>
        <v>n/a</v>
      </c>
      <c r="AF667" s="17" t="str">
        <f t="shared" si="2536"/>
        <v>n/a</v>
      </c>
      <c r="AG667" s="17" t="str">
        <f t="shared" si="2607"/>
        <v>n/a</v>
      </c>
      <c r="AH667" s="17" t="str">
        <f t="shared" si="2607"/>
        <v>n/a</v>
      </c>
      <c r="AO667" s="11">
        <v>-2.7480000000000002</v>
      </c>
      <c r="AP667" s="11">
        <v>-350.26499999999999</v>
      </c>
      <c r="AQ667" s="11">
        <v>-576.12099999999998</v>
      </c>
      <c r="AR667" s="11">
        <v>-886.86300000000006</v>
      </c>
      <c r="AS667" s="11">
        <v>-1636.5409999999999</v>
      </c>
      <c r="AT667" s="11">
        <v>-10.086</v>
      </c>
      <c r="AU667" s="11">
        <v>-2068.6750000000002</v>
      </c>
      <c r="AV667" s="17">
        <f t="shared" si="2537"/>
        <v>-1096.24</v>
      </c>
    </row>
    <row r="668" spans="2:48" x14ac:dyDescent="0.2">
      <c r="B668" s="4" t="s">
        <v>134</v>
      </c>
      <c r="H668" s="17" t="str">
        <f t="shared" si="2525"/>
        <v>n/a</v>
      </c>
      <c r="I668" s="17" t="str">
        <f t="shared" ref="I668:K668" si="2618">IFERROR(I743-H743,"n/a")</f>
        <v>n/a</v>
      </c>
      <c r="J668" s="17" t="str">
        <f t="shared" si="2618"/>
        <v>n/a</v>
      </c>
      <c r="K668" s="17" t="str">
        <f t="shared" si="2618"/>
        <v>n/a</v>
      </c>
      <c r="L668" s="17" t="str">
        <f t="shared" si="2527"/>
        <v>n/a</v>
      </c>
      <c r="M668" s="17" t="str">
        <f t="shared" ref="M668:O668" si="2619">IFERROR(M743-L743,"n/a")</f>
        <v>n/a</v>
      </c>
      <c r="N668" s="17" t="str">
        <f t="shared" si="2619"/>
        <v>n/a</v>
      </c>
      <c r="O668" s="17" t="str">
        <f t="shared" si="2619"/>
        <v>n/a</v>
      </c>
      <c r="P668" s="17" t="str">
        <f t="shared" si="2529"/>
        <v>n/a</v>
      </c>
      <c r="Q668" s="17" t="str">
        <f t="shared" ref="Q668:S668" si="2620">IFERROR(Q743-P743,"n/a")</f>
        <v>n/a</v>
      </c>
      <c r="R668" s="17" t="str">
        <f t="shared" si="2620"/>
        <v>n/a</v>
      </c>
      <c r="S668" s="17" t="str">
        <f t="shared" si="2620"/>
        <v>n/a</v>
      </c>
      <c r="T668" s="17" t="str">
        <f t="shared" si="2531"/>
        <v>n/a</v>
      </c>
      <c r="U668" s="17" t="str">
        <f t="shared" ref="U668:W668" si="2621">IFERROR(U743-T743,"n/a")</f>
        <v>n/a</v>
      </c>
      <c r="V668" s="17" t="str">
        <f t="shared" si="2621"/>
        <v>n/a</v>
      </c>
      <c r="W668" s="17" t="str">
        <f t="shared" si="2621"/>
        <v>n/a</v>
      </c>
      <c r="X668" s="17" t="str">
        <f t="shared" si="2533"/>
        <v>n/a</v>
      </c>
      <c r="Y668" s="17" t="str">
        <f t="shared" ref="Y668:AA668" si="2622">IFERROR(Y743-X743,"n/a")</f>
        <v>n/a</v>
      </c>
      <c r="Z668" s="17" t="str">
        <f t="shared" si="2622"/>
        <v>n/a</v>
      </c>
      <c r="AA668" s="17" t="str">
        <f t="shared" si="2622"/>
        <v>n/a</v>
      </c>
      <c r="AB668" s="17" t="str">
        <f t="shared" si="2535"/>
        <v>n/a</v>
      </c>
      <c r="AC668" s="17" t="str">
        <f t="shared" si="2607"/>
        <v>n/a</v>
      </c>
      <c r="AD668" s="17" t="str">
        <f t="shared" si="2607"/>
        <v>n/a</v>
      </c>
      <c r="AE668" s="17" t="str">
        <f t="shared" si="2607"/>
        <v>n/a</v>
      </c>
      <c r="AF668" s="17" t="str">
        <f t="shared" si="2536"/>
        <v>n/a</v>
      </c>
      <c r="AG668" s="17" t="str">
        <f t="shared" si="2607"/>
        <v>n/a</v>
      </c>
      <c r="AH668" s="17" t="str">
        <f t="shared" si="2607"/>
        <v>n/a</v>
      </c>
      <c r="AO668" s="11">
        <v>98.715000000000003</v>
      </c>
      <c r="AP668" s="11">
        <v>-87.614000000000004</v>
      </c>
      <c r="AQ668" s="11">
        <v>-788.577</v>
      </c>
      <c r="AR668" s="11">
        <v>12.449</v>
      </c>
      <c r="AS668" s="11">
        <v>-4048.5360000000001</v>
      </c>
      <c r="AT668" s="11">
        <v>1744.645</v>
      </c>
      <c r="AU668" s="11">
        <v>758.28200000000004</v>
      </c>
      <c r="AV668" s="17">
        <f t="shared" si="2537"/>
        <v>-2121.308</v>
      </c>
    </row>
    <row r="669" spans="2:48" x14ac:dyDescent="0.2">
      <c r="B669" s="4" t="s">
        <v>135</v>
      </c>
      <c r="H669" s="17" t="str">
        <f t="shared" si="2525"/>
        <v>n/a</v>
      </c>
      <c r="I669" s="17" t="str">
        <f t="shared" ref="I669:K669" si="2623">IFERROR(I744-H744,"n/a")</f>
        <v>n/a</v>
      </c>
      <c r="J669" s="17" t="str">
        <f t="shared" si="2623"/>
        <v>n/a</v>
      </c>
      <c r="K669" s="17" t="str">
        <f t="shared" si="2623"/>
        <v>n/a</v>
      </c>
      <c r="L669" s="17" t="str">
        <f t="shared" si="2527"/>
        <v>n/a</v>
      </c>
      <c r="M669" s="17" t="str">
        <f t="shared" ref="M669:O669" si="2624">IFERROR(M744-L744,"n/a")</f>
        <v>n/a</v>
      </c>
      <c r="N669" s="17" t="str">
        <f t="shared" si="2624"/>
        <v>n/a</v>
      </c>
      <c r="O669" s="17" t="str">
        <f t="shared" si="2624"/>
        <v>n/a</v>
      </c>
      <c r="P669" s="17" t="str">
        <f t="shared" si="2529"/>
        <v>n/a</v>
      </c>
      <c r="Q669" s="17" t="str">
        <f t="shared" ref="Q669:S669" si="2625">IFERROR(Q744-P744,"n/a")</f>
        <v>n/a</v>
      </c>
      <c r="R669" s="17" t="str">
        <f t="shared" si="2625"/>
        <v>n/a</v>
      </c>
      <c r="S669" s="17" t="str">
        <f t="shared" si="2625"/>
        <v>n/a</v>
      </c>
      <c r="T669" s="17" t="str">
        <f t="shared" si="2531"/>
        <v>n/a</v>
      </c>
      <c r="U669" s="17" t="str">
        <f t="shared" ref="U669:W669" si="2626">IFERROR(U744-T744,"n/a")</f>
        <v>n/a</v>
      </c>
      <c r="V669" s="17" t="str">
        <f t="shared" si="2626"/>
        <v>n/a</v>
      </c>
      <c r="W669" s="17" t="str">
        <f t="shared" si="2626"/>
        <v>n/a</v>
      </c>
      <c r="X669" s="17" t="str">
        <f t="shared" si="2533"/>
        <v>n/a</v>
      </c>
      <c r="Y669" s="17" t="str">
        <f t="shared" ref="Y669:AA669" si="2627">IFERROR(Y744-X744,"n/a")</f>
        <v>n/a</v>
      </c>
      <c r="Z669" s="17" t="str">
        <f t="shared" si="2627"/>
        <v>n/a</v>
      </c>
      <c r="AA669" s="17" t="str">
        <f t="shared" si="2627"/>
        <v>n/a</v>
      </c>
      <c r="AB669" s="17" t="str">
        <f t="shared" si="2535"/>
        <v>n/a</v>
      </c>
      <c r="AC669" s="17" t="str">
        <f t="shared" si="2607"/>
        <v>n/a</v>
      </c>
      <c r="AD669" s="17" t="str">
        <f t="shared" si="2607"/>
        <v>n/a</v>
      </c>
      <c r="AE669" s="17" t="str">
        <f t="shared" si="2607"/>
        <v>n/a</v>
      </c>
      <c r="AF669" s="17" t="str">
        <f t="shared" si="2536"/>
        <v>n/a</v>
      </c>
      <c r="AG669" s="17" t="str">
        <f t="shared" si="2607"/>
        <v>n/a</v>
      </c>
      <c r="AH669" s="17" t="str">
        <f t="shared" si="2607"/>
        <v>n/a</v>
      </c>
      <c r="AO669" s="11">
        <v>-42.319000000000003</v>
      </c>
      <c r="AP669" s="11">
        <v>51.081000000000003</v>
      </c>
      <c r="AQ669" s="11">
        <v>402.05599999999998</v>
      </c>
      <c r="AR669" s="11">
        <v>1024.779</v>
      </c>
      <c r="AS669" s="11">
        <v>1882.971</v>
      </c>
      <c r="AT669" s="11">
        <v>-1422.856</v>
      </c>
      <c r="AU669" s="11">
        <v>-286.61599999999999</v>
      </c>
      <c r="AV669" s="17">
        <f t="shared" si="2537"/>
        <v>-437.61500000000001</v>
      </c>
    </row>
    <row r="670" spans="2:48" x14ac:dyDescent="0.2">
      <c r="B670" s="4" t="s">
        <v>136</v>
      </c>
      <c r="H670" s="17" t="str">
        <f t="shared" si="2525"/>
        <v>n/a</v>
      </c>
      <c r="I670" s="17" t="str">
        <f t="shared" ref="I670:K670" si="2628">IFERROR(I745-H745,"n/a")</f>
        <v>n/a</v>
      </c>
      <c r="J670" s="17" t="str">
        <f t="shared" si="2628"/>
        <v>n/a</v>
      </c>
      <c r="K670" s="17" t="str">
        <f t="shared" si="2628"/>
        <v>n/a</v>
      </c>
      <c r="L670" s="17" t="str">
        <f t="shared" si="2527"/>
        <v>n/a</v>
      </c>
      <c r="M670" s="17" t="str">
        <f t="shared" ref="M670:O670" si="2629">IFERROR(M745-L745,"n/a")</f>
        <v>n/a</v>
      </c>
      <c r="N670" s="17" t="str">
        <f t="shared" si="2629"/>
        <v>n/a</v>
      </c>
      <c r="O670" s="17" t="str">
        <f t="shared" si="2629"/>
        <v>n/a</v>
      </c>
      <c r="P670" s="17" t="str">
        <f t="shared" si="2529"/>
        <v>n/a</v>
      </c>
      <c r="Q670" s="17" t="str">
        <f t="shared" ref="Q670:S670" si="2630">IFERROR(Q745-P745,"n/a")</f>
        <v>n/a</v>
      </c>
      <c r="R670" s="17" t="str">
        <f t="shared" si="2630"/>
        <v>n/a</v>
      </c>
      <c r="S670" s="17" t="str">
        <f t="shared" si="2630"/>
        <v>n/a</v>
      </c>
      <c r="T670" s="17" t="str">
        <f t="shared" si="2531"/>
        <v>n/a</v>
      </c>
      <c r="U670" s="17" t="str">
        <f t="shared" ref="U670:W670" si="2631">IFERROR(U745-T745,"n/a")</f>
        <v>n/a</v>
      </c>
      <c r="V670" s="17" t="str">
        <f t="shared" si="2631"/>
        <v>n/a</v>
      </c>
      <c r="W670" s="17" t="str">
        <f t="shared" si="2631"/>
        <v>n/a</v>
      </c>
      <c r="X670" s="17" t="str">
        <f t="shared" si="2533"/>
        <v>n/a</v>
      </c>
      <c r="Y670" s="17" t="str">
        <f t="shared" ref="Y670:AA670" si="2632">IFERROR(Y745-X745,"n/a")</f>
        <v>n/a</v>
      </c>
      <c r="Z670" s="17" t="str">
        <f t="shared" si="2632"/>
        <v>n/a</v>
      </c>
      <c r="AA670" s="17" t="str">
        <f t="shared" si="2632"/>
        <v>n/a</v>
      </c>
      <c r="AB670" s="17" t="str">
        <f t="shared" si="2535"/>
        <v>n/a</v>
      </c>
      <c r="AC670" s="17" t="str">
        <f t="shared" si="2607"/>
        <v>n/a</v>
      </c>
      <c r="AD670" s="17" t="str">
        <f t="shared" si="2607"/>
        <v>n/a</v>
      </c>
      <c r="AE670" s="17" t="str">
        <f t="shared" si="2607"/>
        <v>n/a</v>
      </c>
      <c r="AF670" s="17" t="str">
        <f t="shared" si="2536"/>
        <v>n/a</v>
      </c>
      <c r="AG670" s="17" t="str">
        <f t="shared" si="2607"/>
        <v>n/a</v>
      </c>
      <c r="AH670" s="17" t="str">
        <f t="shared" si="2607"/>
        <v>n/a</v>
      </c>
      <c r="AO670" s="11">
        <v>-102.73099999999999</v>
      </c>
      <c r="AP670" s="11">
        <v>54.298999999999999</v>
      </c>
      <c r="AQ670" s="11">
        <v>135.029</v>
      </c>
      <c r="AR670" s="11">
        <v>414.488</v>
      </c>
      <c r="AS670" s="11">
        <v>1817.22</v>
      </c>
      <c r="AT670" s="11">
        <v>-1256.4259999999999</v>
      </c>
      <c r="AU670" s="11">
        <v>222.89099999999999</v>
      </c>
      <c r="AV670" s="17">
        <f t="shared" si="2537"/>
        <v>754.95500000000004</v>
      </c>
    </row>
    <row r="671" spans="2:48" x14ac:dyDescent="0.2">
      <c r="B671" s="4" t="s">
        <v>137</v>
      </c>
      <c r="H671" s="17" t="str">
        <f t="shared" si="2525"/>
        <v>n/a</v>
      </c>
      <c r="I671" s="17" t="str">
        <f t="shared" ref="I671:K671" si="2633">IFERROR(I746-H746,"n/a")</f>
        <v>n/a</v>
      </c>
      <c r="J671" s="17" t="str">
        <f t="shared" si="2633"/>
        <v>n/a</v>
      </c>
      <c r="K671" s="17" t="str">
        <f t="shared" si="2633"/>
        <v>n/a</v>
      </c>
      <c r="L671" s="17" t="str">
        <f t="shared" si="2527"/>
        <v>n/a</v>
      </c>
      <c r="M671" s="17" t="str">
        <f t="shared" ref="M671:O671" si="2634">IFERROR(M746-L746,"n/a")</f>
        <v>n/a</v>
      </c>
      <c r="N671" s="17" t="str">
        <f t="shared" si="2634"/>
        <v>n/a</v>
      </c>
      <c r="O671" s="17" t="str">
        <f t="shared" si="2634"/>
        <v>n/a</v>
      </c>
      <c r="P671" s="17" t="str">
        <f t="shared" si="2529"/>
        <v>n/a</v>
      </c>
      <c r="Q671" s="17" t="str">
        <f t="shared" ref="Q671:S671" si="2635">IFERROR(Q746-P746,"n/a")</f>
        <v>n/a</v>
      </c>
      <c r="R671" s="17" t="str">
        <f t="shared" si="2635"/>
        <v>n/a</v>
      </c>
      <c r="S671" s="17" t="str">
        <f t="shared" si="2635"/>
        <v>n/a</v>
      </c>
      <c r="T671" s="17" t="str">
        <f t="shared" si="2531"/>
        <v>n/a</v>
      </c>
      <c r="U671" s="17" t="str">
        <f t="shared" ref="U671:W671" si="2636">IFERROR(U746-T746,"n/a")</f>
        <v>n/a</v>
      </c>
      <c r="V671" s="17" t="str">
        <f t="shared" si="2636"/>
        <v>n/a</v>
      </c>
      <c r="W671" s="17" t="str">
        <f t="shared" si="2636"/>
        <v>n/a</v>
      </c>
      <c r="X671" s="17" t="str">
        <f t="shared" si="2533"/>
        <v>n/a</v>
      </c>
      <c r="Y671" s="17" t="str">
        <f t="shared" ref="Y671:AA671" si="2637">IFERROR(Y746-X746,"n/a")</f>
        <v>n/a</v>
      </c>
      <c r="Z671" s="17" t="str">
        <f t="shared" si="2637"/>
        <v>n/a</v>
      </c>
      <c r="AA671" s="17" t="str">
        <f t="shared" si="2637"/>
        <v>n/a</v>
      </c>
      <c r="AB671" s="17" t="str">
        <f t="shared" si="2535"/>
        <v>n/a</v>
      </c>
      <c r="AC671" s="17" t="str">
        <f t="shared" si="2607"/>
        <v>n/a</v>
      </c>
      <c r="AD671" s="17" t="str">
        <f t="shared" si="2607"/>
        <v>n/a</v>
      </c>
      <c r="AE671" s="17" t="str">
        <f t="shared" si="2607"/>
        <v>n/a</v>
      </c>
      <c r="AF671" s="17" t="str">
        <f t="shared" si="2536"/>
        <v>n/a</v>
      </c>
      <c r="AG671" s="17" t="str">
        <f t="shared" si="2607"/>
        <v>n/a</v>
      </c>
      <c r="AH671" s="17" t="str">
        <f t="shared" si="2607"/>
        <v>n/a</v>
      </c>
      <c r="AO671" s="11">
        <v>1091.6030000000001</v>
      </c>
      <c r="AP671" s="11">
        <v>8721.7209999999995</v>
      </c>
      <c r="AQ671" s="11">
        <v>7437.415</v>
      </c>
      <c r="AR671" s="11">
        <v>12650.833000000001</v>
      </c>
      <c r="AS671" s="11">
        <v>23934.151000000002</v>
      </c>
      <c r="AT671" s="11">
        <v>8686.4930000000004</v>
      </c>
      <c r="AU671" s="11">
        <v>749.37300000000005</v>
      </c>
      <c r="AV671" s="17">
        <f t="shared" si="2537"/>
        <v>11623.138000000001</v>
      </c>
    </row>
    <row r="672" spans="2:48" x14ac:dyDescent="0.2">
      <c r="B672" s="4" t="s">
        <v>138</v>
      </c>
      <c r="H672" s="17" t="str">
        <f t="shared" si="2525"/>
        <v>n/a</v>
      </c>
      <c r="I672" s="17" t="str">
        <f t="shared" ref="I672:K672" si="2638">IFERROR(I747-H747,"n/a")</f>
        <v>n/a</v>
      </c>
      <c r="J672" s="17" t="str">
        <f t="shared" si="2638"/>
        <v>n/a</v>
      </c>
      <c r="K672" s="17" t="str">
        <f t="shared" si="2638"/>
        <v>n/a</v>
      </c>
      <c r="L672" s="17" t="str">
        <f t="shared" si="2527"/>
        <v>n/a</v>
      </c>
      <c r="M672" s="17" t="str">
        <f t="shared" ref="M672:O672" si="2639">IFERROR(M747-L747,"n/a")</f>
        <v>n/a</v>
      </c>
      <c r="N672" s="17" t="str">
        <f t="shared" si="2639"/>
        <v>n/a</v>
      </c>
      <c r="O672" s="17" t="str">
        <f t="shared" si="2639"/>
        <v>n/a</v>
      </c>
      <c r="P672" s="17" t="str">
        <f t="shared" si="2529"/>
        <v>n/a</v>
      </c>
      <c r="Q672" s="17" t="str">
        <f t="shared" ref="Q672:S672" si="2640">IFERROR(Q747-P747,"n/a")</f>
        <v>n/a</v>
      </c>
      <c r="R672" s="17" t="str">
        <f t="shared" si="2640"/>
        <v>n/a</v>
      </c>
      <c r="S672" s="17" t="str">
        <f t="shared" si="2640"/>
        <v>n/a</v>
      </c>
      <c r="T672" s="17" t="str">
        <f t="shared" si="2531"/>
        <v>n/a</v>
      </c>
      <c r="U672" s="17" t="str">
        <f t="shared" ref="U672:W672" si="2641">IFERROR(U747-T747,"n/a")</f>
        <v>n/a</v>
      </c>
      <c r="V672" s="17" t="str">
        <f t="shared" si="2641"/>
        <v>n/a</v>
      </c>
      <c r="W672" s="17" t="str">
        <f t="shared" si="2641"/>
        <v>n/a</v>
      </c>
      <c r="X672" s="17" t="str">
        <f t="shared" si="2533"/>
        <v>n/a</v>
      </c>
      <c r="Y672" s="17" t="str">
        <f t="shared" ref="Y672:AA672" si="2642">IFERROR(Y747-X747,"n/a")</f>
        <v>n/a</v>
      </c>
      <c r="Z672" s="17" t="str">
        <f t="shared" si="2642"/>
        <v>n/a</v>
      </c>
      <c r="AA672" s="17" t="str">
        <f t="shared" si="2642"/>
        <v>n/a</v>
      </c>
      <c r="AB672" s="17" t="str">
        <f t="shared" si="2535"/>
        <v>n/a</v>
      </c>
      <c r="AC672" s="17" t="str">
        <f t="shared" si="2607"/>
        <v>n/a</v>
      </c>
      <c r="AD672" s="17" t="str">
        <f t="shared" si="2607"/>
        <v>n/a</v>
      </c>
      <c r="AE672" s="17" t="str">
        <f t="shared" si="2607"/>
        <v>n/a</v>
      </c>
      <c r="AF672" s="17" t="str">
        <f t="shared" si="2536"/>
        <v>n/a</v>
      </c>
      <c r="AG672" s="17" t="str">
        <f t="shared" si="2607"/>
        <v>n/a</v>
      </c>
      <c r="AH672" s="17" t="str">
        <f t="shared" si="2607"/>
        <v>n/a</v>
      </c>
      <c r="AO672" s="11">
        <v>-95.41</v>
      </c>
      <c r="AP672" s="11">
        <v>318.363</v>
      </c>
      <c r="AQ672" s="11">
        <v>1864.153</v>
      </c>
      <c r="AR672" s="11">
        <v>2648.8690000000001</v>
      </c>
      <c r="AS672" s="11">
        <v>5849.1480000000001</v>
      </c>
      <c r="AT672" s="11">
        <v>3492.038</v>
      </c>
      <c r="AU672" s="11">
        <v>7003.9979999999996</v>
      </c>
      <c r="AV672" s="17">
        <f t="shared" si="2537"/>
        <v>34258.159</v>
      </c>
    </row>
    <row r="673" spans="2:48" x14ac:dyDescent="0.2">
      <c r="B673" s="4" t="s">
        <v>139</v>
      </c>
      <c r="H673" s="17" t="str">
        <f t="shared" si="2525"/>
        <v>n/a</v>
      </c>
      <c r="I673" s="17" t="str">
        <f t="shared" ref="I673:K673" si="2643">IFERROR(I748-H748,"n/a")</f>
        <v>n/a</v>
      </c>
      <c r="J673" s="17" t="str">
        <f t="shared" si="2643"/>
        <v>n/a</v>
      </c>
      <c r="K673" s="17" t="str">
        <f t="shared" si="2643"/>
        <v>n/a</v>
      </c>
      <c r="L673" s="17" t="str">
        <f t="shared" si="2527"/>
        <v>n/a</v>
      </c>
      <c r="M673" s="17" t="str">
        <f t="shared" ref="M673:O673" si="2644">IFERROR(M748-L748,"n/a")</f>
        <v>n/a</v>
      </c>
      <c r="N673" s="17" t="str">
        <f t="shared" si="2644"/>
        <v>n/a</v>
      </c>
      <c r="O673" s="17" t="str">
        <f t="shared" si="2644"/>
        <v>n/a</v>
      </c>
      <c r="P673" s="17" t="str">
        <f t="shared" si="2529"/>
        <v>n/a</v>
      </c>
      <c r="Q673" s="17" t="str">
        <f t="shared" ref="Q673:S673" si="2645">IFERROR(Q748-P748,"n/a")</f>
        <v>n/a</v>
      </c>
      <c r="R673" s="17" t="str">
        <f t="shared" si="2645"/>
        <v>n/a</v>
      </c>
      <c r="S673" s="17" t="str">
        <f t="shared" si="2645"/>
        <v>n/a</v>
      </c>
      <c r="T673" s="17" t="str">
        <f t="shared" si="2531"/>
        <v>n/a</v>
      </c>
      <c r="U673" s="17" t="str">
        <f t="shared" ref="U673:W673" si="2646">IFERROR(U748-T748,"n/a")</f>
        <v>n/a</v>
      </c>
      <c r="V673" s="17" t="str">
        <f t="shared" si="2646"/>
        <v>n/a</v>
      </c>
      <c r="W673" s="17" t="str">
        <f t="shared" si="2646"/>
        <v>n/a</v>
      </c>
      <c r="X673" s="17" t="str">
        <f t="shared" si="2533"/>
        <v>n/a</v>
      </c>
      <c r="Y673" s="17" t="str">
        <f t="shared" ref="Y673:AA673" si="2647">IFERROR(Y748-X748,"n/a")</f>
        <v>n/a</v>
      </c>
      <c r="Z673" s="17" t="str">
        <f t="shared" si="2647"/>
        <v>n/a</v>
      </c>
      <c r="AA673" s="17" t="str">
        <f t="shared" si="2647"/>
        <v>n/a</v>
      </c>
      <c r="AB673" s="17" t="str">
        <f t="shared" si="2535"/>
        <v>n/a</v>
      </c>
      <c r="AC673" s="17" t="str">
        <f t="shared" si="2607"/>
        <v>n/a</v>
      </c>
      <c r="AD673" s="17" t="str">
        <f t="shared" si="2607"/>
        <v>n/a</v>
      </c>
      <c r="AE673" s="17" t="str">
        <f t="shared" si="2607"/>
        <v>n/a</v>
      </c>
      <c r="AF673" s="17" t="str">
        <f t="shared" si="2536"/>
        <v>n/a</v>
      </c>
      <c r="AG673" s="17" t="str">
        <f t="shared" si="2607"/>
        <v>n/a</v>
      </c>
      <c r="AH673" s="17" t="str">
        <f t="shared" si="2607"/>
        <v>n/a</v>
      </c>
      <c r="AO673" s="11">
        <v>219.47200000000001</v>
      </c>
      <c r="AP673" s="11">
        <v>1558.6130000000001</v>
      </c>
      <c r="AQ673" s="11">
        <v>2410.1880000000001</v>
      </c>
      <c r="AR673" s="11">
        <v>3652.6390000000001</v>
      </c>
      <c r="AS673" s="11">
        <v>3085.4070000000002</v>
      </c>
      <c r="AT673" s="11">
        <v>2651.2330000000002</v>
      </c>
      <c r="AU673" s="11">
        <v>1480.6769999999999</v>
      </c>
      <c r="AV673" s="17">
        <f t="shared" si="2537"/>
        <v>1820.5170000000001</v>
      </c>
    </row>
    <row r="674" spans="2:48" x14ac:dyDescent="0.2">
      <c r="B674" s="4" t="s">
        <v>140</v>
      </c>
      <c r="H674" s="17" t="str">
        <f t="shared" si="2525"/>
        <v>n/a</v>
      </c>
      <c r="I674" s="17" t="str">
        <f t="shared" ref="I674:K674" si="2648">IFERROR(I749-H749,"n/a")</f>
        <v>n/a</v>
      </c>
      <c r="J674" s="17" t="str">
        <f t="shared" si="2648"/>
        <v>n/a</v>
      </c>
      <c r="K674" s="17" t="str">
        <f t="shared" si="2648"/>
        <v>n/a</v>
      </c>
      <c r="L674" s="17" t="str">
        <f t="shared" si="2527"/>
        <v>n/a</v>
      </c>
      <c r="M674" s="17" t="str">
        <f t="shared" ref="M674:O674" si="2649">IFERROR(M749-L749,"n/a")</f>
        <v>n/a</v>
      </c>
      <c r="N674" s="17" t="str">
        <f t="shared" si="2649"/>
        <v>n/a</v>
      </c>
      <c r="O674" s="17" t="str">
        <f t="shared" si="2649"/>
        <v>n/a</v>
      </c>
      <c r="P674" s="17" t="str">
        <f t="shared" si="2529"/>
        <v>n/a</v>
      </c>
      <c r="Q674" s="17" t="str">
        <f t="shared" ref="Q674:S674" si="2650">IFERROR(Q749-P749,"n/a")</f>
        <v>n/a</v>
      </c>
      <c r="R674" s="17" t="str">
        <f t="shared" si="2650"/>
        <v>n/a</v>
      </c>
      <c r="S674" s="17" t="str">
        <f t="shared" si="2650"/>
        <v>n/a</v>
      </c>
      <c r="T674" s="17" t="str">
        <f t="shared" si="2531"/>
        <v>n/a</v>
      </c>
      <c r="U674" s="17" t="str">
        <f t="shared" ref="U674:W674" si="2651">IFERROR(U749-T749,"n/a")</f>
        <v>n/a</v>
      </c>
      <c r="V674" s="17" t="str">
        <f t="shared" si="2651"/>
        <v>n/a</v>
      </c>
      <c r="W674" s="17" t="str">
        <f t="shared" si="2651"/>
        <v>n/a</v>
      </c>
      <c r="X674" s="17" t="str">
        <f t="shared" si="2533"/>
        <v>n/a</v>
      </c>
      <c r="Y674" s="17" t="str">
        <f t="shared" ref="Y674:AA674" si="2652">IFERROR(Y749-X749,"n/a")</f>
        <v>n/a</v>
      </c>
      <c r="Z674" s="17" t="str">
        <f t="shared" si="2652"/>
        <v>n/a</v>
      </c>
      <c r="AA674" s="17" t="str">
        <f t="shared" si="2652"/>
        <v>n/a</v>
      </c>
      <c r="AB674" s="17" t="str">
        <f t="shared" si="2535"/>
        <v>n/a</v>
      </c>
      <c r="AC674" s="17" t="str">
        <f t="shared" si="2607"/>
        <v>n/a</v>
      </c>
      <c r="AD674" s="17" t="str">
        <f t="shared" si="2607"/>
        <v>n/a</v>
      </c>
      <c r="AE674" s="17" t="str">
        <f t="shared" si="2607"/>
        <v>n/a</v>
      </c>
      <c r="AF674" s="17" t="str">
        <f t="shared" si="2536"/>
        <v>n/a</v>
      </c>
      <c r="AG674" s="17" t="str">
        <f t="shared" si="2607"/>
        <v>n/a</v>
      </c>
      <c r="AH674" s="17" t="str">
        <f t="shared" si="2607"/>
        <v>n/a</v>
      </c>
      <c r="AO674" s="11">
        <v>0</v>
      </c>
      <c r="AP674" s="11">
        <v>0</v>
      </c>
      <c r="AQ674" s="11">
        <v>0</v>
      </c>
      <c r="AR674" s="11">
        <v>-590.39400000000001</v>
      </c>
      <c r="AS674" s="11">
        <v>0</v>
      </c>
      <c r="AT674" s="11">
        <v>0</v>
      </c>
      <c r="AU674" s="11">
        <v>0</v>
      </c>
      <c r="AV674" s="17">
        <f t="shared" si="2537"/>
        <v>0</v>
      </c>
    </row>
    <row r="675" spans="2:48" x14ac:dyDescent="0.2">
      <c r="B675" s="4" t="s">
        <v>141</v>
      </c>
      <c r="H675" s="17" t="str">
        <f t="shared" si="2525"/>
        <v>n/a</v>
      </c>
      <c r="I675" s="17" t="str">
        <f t="shared" ref="I675:K675" si="2653">IFERROR(I750-H750,"n/a")</f>
        <v>n/a</v>
      </c>
      <c r="J675" s="17" t="str">
        <f t="shared" si="2653"/>
        <v>n/a</v>
      </c>
      <c r="K675" s="17" t="str">
        <f t="shared" si="2653"/>
        <v>n/a</v>
      </c>
      <c r="L675" s="17" t="str">
        <f t="shared" si="2527"/>
        <v>n/a</v>
      </c>
      <c r="M675" s="17" t="str">
        <f t="shared" ref="M675:O675" si="2654">IFERROR(M750-L750,"n/a")</f>
        <v>n/a</v>
      </c>
      <c r="N675" s="17" t="str">
        <f t="shared" si="2654"/>
        <v>n/a</v>
      </c>
      <c r="O675" s="17" t="str">
        <f t="shared" si="2654"/>
        <v>n/a</v>
      </c>
      <c r="P675" s="17" t="str">
        <f t="shared" si="2529"/>
        <v>n/a</v>
      </c>
      <c r="Q675" s="17" t="str">
        <f t="shared" ref="Q675:S675" si="2655">IFERROR(Q750-P750,"n/a")</f>
        <v>n/a</v>
      </c>
      <c r="R675" s="17" t="str">
        <f t="shared" si="2655"/>
        <v>n/a</v>
      </c>
      <c r="S675" s="17" t="str">
        <f t="shared" si="2655"/>
        <v>n/a</v>
      </c>
      <c r="T675" s="17" t="str">
        <f t="shared" si="2531"/>
        <v>n/a</v>
      </c>
      <c r="U675" s="17" t="str">
        <f t="shared" ref="U675:W675" si="2656">IFERROR(U750-T750,"n/a")</f>
        <v>n/a</v>
      </c>
      <c r="V675" s="17" t="str">
        <f t="shared" si="2656"/>
        <v>n/a</v>
      </c>
      <c r="W675" s="17" t="str">
        <f t="shared" si="2656"/>
        <v>n/a</v>
      </c>
      <c r="X675" s="17" t="str">
        <f t="shared" si="2533"/>
        <v>n/a</v>
      </c>
      <c r="Y675" s="17" t="str">
        <f t="shared" ref="Y675:AA675" si="2657">IFERROR(Y750-X750,"n/a")</f>
        <v>n/a</v>
      </c>
      <c r="Z675" s="17" t="str">
        <f t="shared" si="2657"/>
        <v>n/a</v>
      </c>
      <c r="AA675" s="17" t="str">
        <f t="shared" si="2657"/>
        <v>n/a</v>
      </c>
      <c r="AB675" s="17" t="str">
        <f t="shared" si="2535"/>
        <v>n/a</v>
      </c>
      <c r="AC675" s="17" t="str">
        <f t="shared" si="2607"/>
        <v>n/a</v>
      </c>
      <c r="AD675" s="17" t="str">
        <f t="shared" si="2607"/>
        <v>n/a</v>
      </c>
      <c r="AE675" s="17" t="str">
        <f t="shared" si="2607"/>
        <v>n/a</v>
      </c>
      <c r="AF675" s="17" t="str">
        <f t="shared" si="2536"/>
        <v>n/a</v>
      </c>
      <c r="AG675" s="17" t="str">
        <f t="shared" si="2607"/>
        <v>n/a</v>
      </c>
      <c r="AH675" s="17" t="str">
        <f t="shared" si="2607"/>
        <v>n/a</v>
      </c>
      <c r="AO675" s="11">
        <v>0</v>
      </c>
      <c r="AP675" s="11">
        <v>0</v>
      </c>
      <c r="AQ675" s="11">
        <v>0</v>
      </c>
      <c r="AR675" s="11">
        <v>544.327</v>
      </c>
      <c r="AS675" s="11">
        <v>-137.93600000000001</v>
      </c>
      <c r="AT675" s="11">
        <v>-354.12299999999999</v>
      </c>
      <c r="AU675" s="11">
        <v>-487.06799999999998</v>
      </c>
      <c r="AV675" s="17">
        <f t="shared" si="2537"/>
        <v>-977.78800000000001</v>
      </c>
    </row>
    <row r="676" spans="2:48" x14ac:dyDescent="0.2">
      <c r="B676" s="4" t="s">
        <v>184</v>
      </c>
      <c r="H676" s="17">
        <f t="shared" si="2525"/>
        <v>0</v>
      </c>
      <c r="I676" s="17">
        <f t="shared" ref="I676" si="2658">IFERROR(I751-H751,"n/a")</f>
        <v>0</v>
      </c>
      <c r="J676" s="17">
        <f t="shared" ref="J676" si="2659">IFERROR(J751-I751,"n/a")</f>
        <v>0</v>
      </c>
      <c r="K676" s="17">
        <f t="shared" ref="K676" si="2660">IFERROR(K751-J751,"n/a")</f>
        <v>0</v>
      </c>
      <c r="L676" s="17" t="str">
        <f t="shared" si="2527"/>
        <v>n/a</v>
      </c>
      <c r="M676" s="17" t="str">
        <f t="shared" ref="M676" si="2661">IFERROR(M751-L751,"n/a")</f>
        <v>n/a</v>
      </c>
      <c r="N676" s="17" t="str">
        <f t="shared" ref="N676" si="2662">IFERROR(N751-M751,"n/a")</f>
        <v>n/a</v>
      </c>
      <c r="O676" s="17" t="str">
        <f t="shared" ref="O676" si="2663">IFERROR(O751-N751,"n/a")</f>
        <v>n/a</v>
      </c>
      <c r="P676" s="17" t="str">
        <f t="shared" si="2529"/>
        <v>n/a</v>
      </c>
      <c r="Q676" s="17" t="str">
        <f t="shared" ref="Q676" si="2664">IFERROR(Q751-P751,"n/a")</f>
        <v>n/a</v>
      </c>
      <c r="R676" s="17" t="str">
        <f t="shared" ref="R676" si="2665">IFERROR(R751-Q751,"n/a")</f>
        <v>n/a</v>
      </c>
      <c r="S676" s="17" t="str">
        <f t="shared" ref="S676" si="2666">IFERROR(S751-R751,"n/a")</f>
        <v>n/a</v>
      </c>
      <c r="T676" s="17" t="str">
        <f t="shared" si="2531"/>
        <v>n/a</v>
      </c>
      <c r="U676" s="17" t="str">
        <f t="shared" ref="U676" si="2667">IFERROR(U751-T751,"n/a")</f>
        <v>n/a</v>
      </c>
      <c r="V676" s="17" t="str">
        <f t="shared" ref="V676" si="2668">IFERROR(V751-U751,"n/a")</f>
        <v>n/a</v>
      </c>
      <c r="W676" s="17" t="str">
        <f t="shared" ref="W676" si="2669">IFERROR(W751-V751,"n/a")</f>
        <v>n/a</v>
      </c>
      <c r="X676" s="17" t="str">
        <f t="shared" si="2533"/>
        <v>n/a</v>
      </c>
      <c r="Y676" s="17" t="str">
        <f t="shared" ref="Y676" si="2670">IFERROR(Y751-X751,"n/a")</f>
        <v>n/a</v>
      </c>
      <c r="Z676" s="17" t="str">
        <f t="shared" ref="Z676" si="2671">IFERROR(Z751-Y751,"n/a")</f>
        <v>n/a</v>
      </c>
      <c r="AA676" s="17" t="str">
        <f t="shared" ref="AA676" si="2672">IFERROR(AA751-Z751,"n/a")</f>
        <v>n/a</v>
      </c>
      <c r="AB676" s="17" t="str">
        <f t="shared" si="2535"/>
        <v>n/a</v>
      </c>
      <c r="AC676" s="17" t="str">
        <f t="shared" ref="AC676" si="2673">IFERROR(AC751-AB751,"n/a")</f>
        <v>n/a</v>
      </c>
      <c r="AD676" s="17" t="str">
        <f t="shared" ref="AD676" si="2674">IFERROR(AD751-AC751,"n/a")</f>
        <v>n/a</v>
      </c>
      <c r="AE676" s="17" t="str">
        <f t="shared" ref="AE676" si="2675">IFERROR(AE751-AD751,"n/a")</f>
        <v>n/a</v>
      </c>
      <c r="AF676" s="17" t="str">
        <f t="shared" si="2536"/>
        <v>n/a</v>
      </c>
      <c r="AG676" s="17" t="str">
        <f t="shared" si="2607"/>
        <v>n/a</v>
      </c>
      <c r="AH676" s="17" t="str">
        <f t="shared" si="2607"/>
        <v>n/a</v>
      </c>
      <c r="AO676" s="11">
        <v>0</v>
      </c>
      <c r="AP676" s="11">
        <v>0</v>
      </c>
      <c r="AQ676" s="11">
        <v>0</v>
      </c>
      <c r="AR676" s="11">
        <v>0</v>
      </c>
      <c r="AS676" s="11">
        <v>0</v>
      </c>
      <c r="AT676" s="11">
        <v>0</v>
      </c>
      <c r="AU676" s="11">
        <v>0</v>
      </c>
      <c r="AV676" s="17">
        <f t="shared" si="2537"/>
        <v>-13856.982</v>
      </c>
    </row>
    <row r="677" spans="2:48" x14ac:dyDescent="0.2">
      <c r="B677" s="4" t="s">
        <v>142</v>
      </c>
      <c r="H677" s="17" t="str">
        <f>H752</f>
        <v>n/a</v>
      </c>
      <c r="I677" s="17" t="str">
        <f t="shared" ref="I677:K677" si="2676">IFERROR(I752-H752,"n/a")</f>
        <v>n/a</v>
      </c>
      <c r="J677" s="17" t="str">
        <f t="shared" si="2676"/>
        <v>n/a</v>
      </c>
      <c r="K677" s="17" t="str">
        <f t="shared" si="2676"/>
        <v>n/a</v>
      </c>
      <c r="L677" s="17" t="str">
        <f>L752</f>
        <v>n/a</v>
      </c>
      <c r="M677" s="17" t="str">
        <f t="shared" ref="M677:O677" si="2677">IFERROR(M752-L752,"n/a")</f>
        <v>n/a</v>
      </c>
      <c r="N677" s="17" t="str">
        <f t="shared" si="2677"/>
        <v>n/a</v>
      </c>
      <c r="O677" s="17" t="str">
        <f t="shared" si="2677"/>
        <v>n/a</v>
      </c>
      <c r="P677" s="17" t="str">
        <f>P752</f>
        <v>n/a</v>
      </c>
      <c r="Q677" s="17" t="str">
        <f t="shared" ref="Q677:S677" si="2678">IFERROR(Q752-P752,"n/a")</f>
        <v>n/a</v>
      </c>
      <c r="R677" s="17" t="str">
        <f t="shared" si="2678"/>
        <v>n/a</v>
      </c>
      <c r="S677" s="17" t="str">
        <f t="shared" si="2678"/>
        <v>n/a</v>
      </c>
      <c r="T677" s="17" t="str">
        <f>T752</f>
        <v>n/a</v>
      </c>
      <c r="U677" s="17" t="str">
        <f t="shared" ref="U677:W677" si="2679">IFERROR(U752-T752,"n/a")</f>
        <v>n/a</v>
      </c>
      <c r="V677" s="17" t="str">
        <f t="shared" si="2679"/>
        <v>n/a</v>
      </c>
      <c r="W677" s="17" t="str">
        <f t="shared" si="2679"/>
        <v>n/a</v>
      </c>
      <c r="X677" s="17" t="str">
        <f>X752</f>
        <v>n/a</v>
      </c>
      <c r="Y677" s="17" t="str">
        <f t="shared" ref="Y677:AA677" si="2680">IFERROR(Y752-X752,"n/a")</f>
        <v>n/a</v>
      </c>
      <c r="Z677" s="17" t="str">
        <f t="shared" si="2680"/>
        <v>n/a</v>
      </c>
      <c r="AA677" s="17" t="str">
        <f t="shared" si="2680"/>
        <v>n/a</v>
      </c>
      <c r="AB677" s="17" t="str">
        <f>AB752</f>
        <v>n/a</v>
      </c>
      <c r="AC677" s="17" t="str">
        <f t="shared" ref="AC677:AH679" si="2681">IFERROR(AC752-AB752,"n/a")</f>
        <v>n/a</v>
      </c>
      <c r="AD677" s="17" t="str">
        <f t="shared" si="2681"/>
        <v>n/a</v>
      </c>
      <c r="AE677" s="17" t="str">
        <f t="shared" si="2681"/>
        <v>n/a</v>
      </c>
      <c r="AF677" s="17" t="str">
        <f>AF752</f>
        <v>n/a</v>
      </c>
      <c r="AG677" s="17" t="str">
        <f t="shared" si="2681"/>
        <v>n/a</v>
      </c>
      <c r="AH677" s="17" t="str">
        <f t="shared" si="2681"/>
        <v>n/a</v>
      </c>
      <c r="AO677" s="11">
        <v>0</v>
      </c>
      <c r="AP677" s="11">
        <v>0</v>
      </c>
      <c r="AQ677" s="11">
        <v>0</v>
      </c>
      <c r="AR677" s="11">
        <v>-69.471000000000004</v>
      </c>
      <c r="AS677" s="11">
        <v>-13.182</v>
      </c>
      <c r="AT677" s="11">
        <v>-23.102</v>
      </c>
      <c r="AU677" s="11">
        <v>-34.491999999999997</v>
      </c>
      <c r="AV677" s="17">
        <f>AV752</f>
        <v>-184.154</v>
      </c>
    </row>
    <row r="678" spans="2:48" ht="13.5" x14ac:dyDescent="0.35">
      <c r="B678" s="4" t="s">
        <v>143</v>
      </c>
      <c r="H678" s="36" t="str">
        <f>H753</f>
        <v>n/a</v>
      </c>
      <c r="I678" s="36" t="str">
        <f t="shared" ref="I678:K678" si="2682">IFERROR(I753-H753,"n/a")</f>
        <v>n/a</v>
      </c>
      <c r="J678" s="36" t="str">
        <f t="shared" si="2682"/>
        <v>n/a</v>
      </c>
      <c r="K678" s="36" t="str">
        <f t="shared" si="2682"/>
        <v>n/a</v>
      </c>
      <c r="L678" s="36" t="str">
        <f>L753</f>
        <v>n/a</v>
      </c>
      <c r="M678" s="36" t="str">
        <f t="shared" ref="M678:O678" si="2683">IFERROR(M753-L753,"n/a")</f>
        <v>n/a</v>
      </c>
      <c r="N678" s="36" t="str">
        <f t="shared" si="2683"/>
        <v>n/a</v>
      </c>
      <c r="O678" s="36" t="str">
        <f t="shared" si="2683"/>
        <v>n/a</v>
      </c>
      <c r="P678" s="36" t="str">
        <f>P753</f>
        <v>n/a</v>
      </c>
      <c r="Q678" s="36" t="str">
        <f t="shared" ref="Q678:S678" si="2684">IFERROR(Q753-P753,"n/a")</f>
        <v>n/a</v>
      </c>
      <c r="R678" s="36" t="str">
        <f t="shared" si="2684"/>
        <v>n/a</v>
      </c>
      <c r="S678" s="36" t="str">
        <f t="shared" si="2684"/>
        <v>n/a</v>
      </c>
      <c r="T678" s="36" t="str">
        <f>T753</f>
        <v>n/a</v>
      </c>
      <c r="U678" s="36" t="str">
        <f t="shared" ref="U678:W678" si="2685">IFERROR(U753-T753,"n/a")</f>
        <v>n/a</v>
      </c>
      <c r="V678" s="36" t="str">
        <f t="shared" si="2685"/>
        <v>n/a</v>
      </c>
      <c r="W678" s="36" t="str">
        <f t="shared" si="2685"/>
        <v>n/a</v>
      </c>
      <c r="X678" s="36" t="str">
        <f>X753</f>
        <v>n/a</v>
      </c>
      <c r="Y678" s="36" t="str">
        <f t="shared" ref="Y678:AA678" si="2686">IFERROR(Y753-X753,"n/a")</f>
        <v>n/a</v>
      </c>
      <c r="Z678" s="36" t="str">
        <f t="shared" si="2686"/>
        <v>n/a</v>
      </c>
      <c r="AA678" s="36" t="str">
        <f t="shared" si="2686"/>
        <v>n/a</v>
      </c>
      <c r="AB678" s="36" t="str">
        <f>AB753</f>
        <v>n/a</v>
      </c>
      <c r="AC678" s="36" t="str">
        <f t="shared" si="2681"/>
        <v>n/a</v>
      </c>
      <c r="AD678" s="36" t="str">
        <f t="shared" si="2681"/>
        <v>n/a</v>
      </c>
      <c r="AE678" s="36" t="str">
        <f t="shared" si="2681"/>
        <v>n/a</v>
      </c>
      <c r="AF678" s="36" t="str">
        <f>AF753</f>
        <v>n/a</v>
      </c>
      <c r="AG678" s="36" t="str">
        <f t="shared" si="2681"/>
        <v>n/a</v>
      </c>
      <c r="AH678" s="36" t="str">
        <f t="shared" si="2681"/>
        <v>n/a</v>
      </c>
      <c r="AO678" s="13">
        <v>0</v>
      </c>
      <c r="AP678" s="13">
        <v>0</v>
      </c>
      <c r="AQ678" s="13">
        <v>0</v>
      </c>
      <c r="AR678" s="13">
        <v>7.3890000000000002</v>
      </c>
      <c r="AS678" s="13">
        <v>-4.4710000000000001</v>
      </c>
      <c r="AT678" s="13">
        <v>-1.9219999999999999</v>
      </c>
      <c r="AU678" s="13">
        <v>-0.996</v>
      </c>
      <c r="AV678" s="36">
        <f>AV753</f>
        <v>0</v>
      </c>
    </row>
    <row r="679" spans="2:48" s="1" customFormat="1" x14ac:dyDescent="0.2">
      <c r="B679" s="43" t="s">
        <v>172</v>
      </c>
      <c r="H679" s="49">
        <f>H754</f>
        <v>628.92399999999964</v>
      </c>
      <c r="I679" s="49">
        <f t="shared" ref="I679:K679" si="2687">IFERROR(I754-H754,"n/a")</f>
        <v>360.90400000000034</v>
      </c>
      <c r="J679" s="49">
        <f t="shared" si="2687"/>
        <v>249.74199999999996</v>
      </c>
      <c r="K679" s="49">
        <f t="shared" si="2687"/>
        <v>6528.357</v>
      </c>
      <c r="L679" s="49">
        <f>L754</f>
        <v>-1543.251</v>
      </c>
      <c r="M679" s="49">
        <f t="shared" ref="M679:O679" si="2688">IFERROR(M754-L754,"n/a")</f>
        <v>4147.982</v>
      </c>
      <c r="N679" s="49">
        <f t="shared" si="2688"/>
        <v>2618.2319999999995</v>
      </c>
      <c r="O679" s="49">
        <f t="shared" si="2688"/>
        <v>9598.012999999999</v>
      </c>
      <c r="P679" s="49">
        <f>P754</f>
        <v>-567.07000000000005</v>
      </c>
      <c r="Q679" s="49">
        <f t="shared" ref="Q679:S679" si="2689">IFERROR(Q754-P754,"n/a")</f>
        <v>5495.3359999999993</v>
      </c>
      <c r="R679" s="49">
        <f t="shared" si="2689"/>
        <v>8321.7920000000013</v>
      </c>
      <c r="S679" s="49">
        <f t="shared" si="2689"/>
        <v>14946.569</v>
      </c>
      <c r="T679" s="49">
        <f>T754</f>
        <v>-3724.547</v>
      </c>
      <c r="U679" s="49">
        <f t="shared" ref="U679:W679" si="2690">IFERROR(U754-T754,"n/a")</f>
        <v>7371.2150000000001</v>
      </c>
      <c r="V679" s="49">
        <f t="shared" si="2690"/>
        <v>8736.5680000000011</v>
      </c>
      <c r="W679" s="49">
        <f t="shared" si="2690"/>
        <v>16399.774999999998</v>
      </c>
      <c r="X679" s="49">
        <f>X754</f>
        <v>-9068.0959999999995</v>
      </c>
      <c r="Y679" s="49">
        <f t="shared" ref="Y679:AA679" si="2691">IFERROR(Y754-X754,"n/a")</f>
        <v>19373.870999999999</v>
      </c>
      <c r="Z679" s="49">
        <f t="shared" si="2691"/>
        <v>11651.823000000002</v>
      </c>
      <c r="AA679" s="49">
        <f t="shared" si="2691"/>
        <v>26550.261999999999</v>
      </c>
      <c r="AB679" s="49">
        <f>AB754</f>
        <v>1338.0219999999999</v>
      </c>
      <c r="AC679" s="49">
        <f t="shared" si="2681"/>
        <v>23395.981</v>
      </c>
      <c r="AD679" s="49">
        <f t="shared" si="2681"/>
        <v>32537.857</v>
      </c>
      <c r="AE679" s="49">
        <f t="shared" si="2681"/>
        <v>36890.671000000002</v>
      </c>
      <c r="AF679" s="49">
        <f>AF754</f>
        <v>21067.179</v>
      </c>
      <c r="AG679" s="49">
        <f t="shared" si="2681"/>
        <v>22725.460999999999</v>
      </c>
      <c r="AH679" s="49">
        <f t="shared" si="2681"/>
        <v>48589.491999999998</v>
      </c>
      <c r="AO679" s="49">
        <f t="shared" ref="AO679" si="2692">IFERROR(AO649+SUM(AO650:AO663)+SUM(AO665:AO678),"n/a")</f>
        <v>879.77700000000027</v>
      </c>
      <c r="AP679" s="49">
        <f t="shared" ref="AP679" si="2693">IFERROR(AP649+SUM(AP650:AP663)+SUM(AP665:AP678),"n/a")</f>
        <v>315.47900000000192</v>
      </c>
      <c r="AQ679" s="49">
        <f t="shared" ref="AQ679" si="2694">IFERROR(AQ649+SUM(AQ650:AQ663)+SUM(AQ665:AQ678),"n/a")</f>
        <v>7767.9269999999997</v>
      </c>
      <c r="AR679" s="49">
        <f t="shared" ref="AR679" si="2695">IFERROR(AR649+SUM(AR650:AR663)+SUM(AR665:AR678),"n/a")</f>
        <v>14820.975999999999</v>
      </c>
      <c r="AS679" s="49">
        <f t="shared" ref="AS679" si="2696">IFERROR(AS649+SUM(AS650:AS663)+SUM(AS665:AS678),"n/a")</f>
        <v>28196.627</v>
      </c>
      <c r="AT679" s="49">
        <f t="shared" ref="AT679" si="2697">IFERROR(AT649+SUM(AT650:AT663)+SUM(AT665:AT678),"n/a")</f>
        <v>28783.010999999999</v>
      </c>
      <c r="AU679" s="49">
        <f t="shared" ref="AU679" si="2698">IFERROR(AU649+SUM(AU650:AU663)+SUM(AU665:AU678),"n/a")</f>
        <v>48507.86</v>
      </c>
      <c r="AV679" s="49">
        <f>AV754</f>
        <v>94162.531000000003</v>
      </c>
    </row>
    <row r="680" spans="2:48" x14ac:dyDescent="0.2">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O680" s="11"/>
      <c r="AP680" s="11"/>
      <c r="AQ680" s="11"/>
      <c r="AR680" s="11"/>
      <c r="AS680" s="11"/>
      <c r="AT680" s="11"/>
      <c r="AU680" s="11"/>
      <c r="AV680" s="11"/>
    </row>
    <row r="681" spans="2:48" x14ac:dyDescent="0.2">
      <c r="B681" s="1" t="s">
        <v>173</v>
      </c>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O681" s="11"/>
      <c r="AP681" s="11"/>
      <c r="AQ681" s="11"/>
      <c r="AR681" s="11"/>
      <c r="AS681" s="11"/>
      <c r="AT681" s="11"/>
      <c r="AU681" s="11"/>
      <c r="AV681" s="11"/>
    </row>
    <row r="682" spans="2:48" x14ac:dyDescent="0.2">
      <c r="B682" t="s">
        <v>144</v>
      </c>
      <c r="H682" s="17" t="str">
        <f t="shared" ref="H682:H687" si="2699">H757</f>
        <v>n/a</v>
      </c>
      <c r="I682" s="17" t="str">
        <f t="shared" ref="I682:K682" si="2700">IFERROR(I757-H757,"n/a")</f>
        <v>n/a</v>
      </c>
      <c r="J682" s="17" t="str">
        <f t="shared" si="2700"/>
        <v>n/a</v>
      </c>
      <c r="K682" s="17" t="str">
        <f t="shared" si="2700"/>
        <v>n/a</v>
      </c>
      <c r="L682" s="17" t="str">
        <f t="shared" ref="L682:L688" si="2701">L757</f>
        <v>n/a</v>
      </c>
      <c r="M682" s="17" t="str">
        <f t="shared" ref="M682:O682" si="2702">IFERROR(M757-L757,"n/a")</f>
        <v>n/a</v>
      </c>
      <c r="N682" s="17" t="str">
        <f t="shared" si="2702"/>
        <v>n/a</v>
      </c>
      <c r="O682" s="17" t="str">
        <f t="shared" si="2702"/>
        <v>n/a</v>
      </c>
      <c r="P682" s="17" t="str">
        <f t="shared" ref="P682:P688" si="2703">P757</f>
        <v>n/a</v>
      </c>
      <c r="Q682" s="17" t="str">
        <f t="shared" ref="Q682:S682" si="2704">IFERROR(Q757-P757,"n/a")</f>
        <v>n/a</v>
      </c>
      <c r="R682" s="17" t="str">
        <f t="shared" si="2704"/>
        <v>n/a</v>
      </c>
      <c r="S682" s="17" t="str">
        <f t="shared" si="2704"/>
        <v>n/a</v>
      </c>
      <c r="T682" s="17" t="str">
        <f t="shared" ref="T682:T688" si="2705">T757</f>
        <v>n/a</v>
      </c>
      <c r="U682" s="17" t="str">
        <f t="shared" ref="U682:W682" si="2706">IFERROR(U757-T757,"n/a")</f>
        <v>n/a</v>
      </c>
      <c r="V682" s="17" t="str">
        <f t="shared" si="2706"/>
        <v>n/a</v>
      </c>
      <c r="W682" s="17" t="str">
        <f t="shared" si="2706"/>
        <v>n/a</v>
      </c>
      <c r="X682" s="17" t="str">
        <f t="shared" ref="X682:X688" si="2707">X757</f>
        <v>n/a</v>
      </c>
      <c r="Y682" s="17" t="str">
        <f t="shared" ref="Y682:AA682" si="2708">IFERROR(Y757-X757,"n/a")</f>
        <v>n/a</v>
      </c>
      <c r="Z682" s="17" t="str">
        <f t="shared" si="2708"/>
        <v>n/a</v>
      </c>
      <c r="AA682" s="17" t="str">
        <f t="shared" si="2708"/>
        <v>n/a</v>
      </c>
      <c r="AB682" s="17" t="str">
        <f t="shared" ref="AB682:AB688" si="2709">AB757</f>
        <v>n/a</v>
      </c>
      <c r="AC682" s="17" t="str">
        <f t="shared" ref="AC682:AH688" si="2710">IFERROR(AC757-AB757,"n/a")</f>
        <v>n/a</v>
      </c>
      <c r="AD682" s="17" t="str">
        <f t="shared" si="2710"/>
        <v>n/a</v>
      </c>
      <c r="AE682" s="17" t="str">
        <f t="shared" si="2710"/>
        <v>n/a</v>
      </c>
      <c r="AF682" s="17" t="str">
        <f t="shared" ref="AF682:AF696" si="2711">AF757</f>
        <v>n/a</v>
      </c>
      <c r="AG682" s="17" t="str">
        <f t="shared" si="2710"/>
        <v>n/a</v>
      </c>
      <c r="AH682" s="17" t="str">
        <f t="shared" si="2710"/>
        <v>n/a</v>
      </c>
      <c r="AO682" s="11">
        <v>-320</v>
      </c>
      <c r="AP682" s="11">
        <v>-1393</v>
      </c>
      <c r="AQ682" s="11">
        <v>-7516.37</v>
      </c>
      <c r="AR682" s="11">
        <v>-52451.614999999998</v>
      </c>
      <c r="AS682" s="11">
        <v>-86438.067999999999</v>
      </c>
      <c r="AT682" s="11">
        <v>-116639.55</v>
      </c>
      <c r="AU682" s="11">
        <v>-160414.45300000001</v>
      </c>
      <c r="AV682" s="17">
        <f t="shared" ref="AV682:AV688" si="2712">AV757</f>
        <v>-147131.67300000001</v>
      </c>
    </row>
    <row r="683" spans="2:48" x14ac:dyDescent="0.2">
      <c r="B683" t="s">
        <v>145</v>
      </c>
      <c r="H683" s="17" t="str">
        <f t="shared" si="2699"/>
        <v>n/a</v>
      </c>
      <c r="I683" s="17" t="str">
        <f t="shared" ref="I683:K683" si="2713">IFERROR(I758-H758,"n/a")</f>
        <v>n/a</v>
      </c>
      <c r="J683" s="17" t="str">
        <f t="shared" si="2713"/>
        <v>n/a</v>
      </c>
      <c r="K683" s="17" t="str">
        <f t="shared" si="2713"/>
        <v>n/a</v>
      </c>
      <c r="L683" s="17" t="str">
        <f t="shared" si="2701"/>
        <v>n/a</v>
      </c>
      <c r="M683" s="17" t="str">
        <f t="shared" ref="M683:O683" si="2714">IFERROR(M758-L758,"n/a")</f>
        <v>n/a</v>
      </c>
      <c r="N683" s="17" t="str">
        <f t="shared" si="2714"/>
        <v>n/a</v>
      </c>
      <c r="O683" s="17" t="str">
        <f t="shared" si="2714"/>
        <v>n/a</v>
      </c>
      <c r="P683" s="17" t="str">
        <f t="shared" si="2703"/>
        <v>n/a</v>
      </c>
      <c r="Q683" s="17" t="str">
        <f t="shared" ref="Q683:S683" si="2715">IFERROR(Q758-P758,"n/a")</f>
        <v>n/a</v>
      </c>
      <c r="R683" s="17" t="str">
        <f t="shared" si="2715"/>
        <v>n/a</v>
      </c>
      <c r="S683" s="17" t="str">
        <f t="shared" si="2715"/>
        <v>n/a</v>
      </c>
      <c r="T683" s="17" t="str">
        <f t="shared" si="2705"/>
        <v>n/a</v>
      </c>
      <c r="U683" s="17" t="str">
        <f t="shared" ref="U683:W683" si="2716">IFERROR(U758-T758,"n/a")</f>
        <v>n/a</v>
      </c>
      <c r="V683" s="17" t="str">
        <f t="shared" si="2716"/>
        <v>n/a</v>
      </c>
      <c r="W683" s="17" t="str">
        <f t="shared" si="2716"/>
        <v>n/a</v>
      </c>
      <c r="X683" s="17" t="str">
        <f t="shared" si="2707"/>
        <v>n/a</v>
      </c>
      <c r="Y683" s="17" t="str">
        <f t="shared" ref="Y683:AA683" si="2717">IFERROR(Y758-X758,"n/a")</f>
        <v>n/a</v>
      </c>
      <c r="Z683" s="17" t="str">
        <f t="shared" si="2717"/>
        <v>n/a</v>
      </c>
      <c r="AA683" s="17" t="str">
        <f t="shared" si="2717"/>
        <v>n/a</v>
      </c>
      <c r="AB683" s="17" t="str">
        <f t="shared" si="2709"/>
        <v>n/a</v>
      </c>
      <c r="AC683" s="17" t="str">
        <f t="shared" si="2710"/>
        <v>n/a</v>
      </c>
      <c r="AD683" s="17" t="str">
        <f t="shared" si="2710"/>
        <v>n/a</v>
      </c>
      <c r="AE683" s="17" t="str">
        <f t="shared" si="2710"/>
        <v>n/a</v>
      </c>
      <c r="AF683" s="17" t="str">
        <f t="shared" si="2711"/>
        <v>n/a</v>
      </c>
      <c r="AG683" s="17" t="str">
        <f t="shared" si="2710"/>
        <v>n/a</v>
      </c>
      <c r="AH683" s="17" t="str">
        <f t="shared" si="2710"/>
        <v>n/a</v>
      </c>
      <c r="AO683" s="11">
        <v>30</v>
      </c>
      <c r="AP683" s="11">
        <v>1633</v>
      </c>
      <c r="AQ683" s="11">
        <v>50</v>
      </c>
      <c r="AR683" s="11">
        <v>24797.63</v>
      </c>
      <c r="AS683" s="11">
        <v>55083.39</v>
      </c>
      <c r="AT683" s="11">
        <v>97547.038</v>
      </c>
      <c r="AU683" s="11">
        <v>141928.351</v>
      </c>
      <c r="AV683" s="17">
        <f t="shared" si="2712"/>
        <v>130317.231</v>
      </c>
    </row>
    <row r="684" spans="2:48" x14ac:dyDescent="0.2">
      <c r="B684" t="s">
        <v>146</v>
      </c>
      <c r="H684" s="17" t="str">
        <f t="shared" si="2699"/>
        <v>n/a</v>
      </c>
      <c r="I684" s="17" t="str">
        <f t="shared" ref="I684:K684" si="2718">IFERROR(I759-H759,"n/a")</f>
        <v>n/a</v>
      </c>
      <c r="J684" s="17" t="str">
        <f t="shared" si="2718"/>
        <v>n/a</v>
      </c>
      <c r="K684" s="17" t="str">
        <f t="shared" si="2718"/>
        <v>n/a</v>
      </c>
      <c r="L684" s="17" t="str">
        <f t="shared" si="2701"/>
        <v>n/a</v>
      </c>
      <c r="M684" s="17" t="str">
        <f t="shared" ref="M684:O684" si="2719">IFERROR(M759-L759,"n/a")</f>
        <v>n/a</v>
      </c>
      <c r="N684" s="17" t="str">
        <f t="shared" si="2719"/>
        <v>n/a</v>
      </c>
      <c r="O684" s="17" t="str">
        <f t="shared" si="2719"/>
        <v>n/a</v>
      </c>
      <c r="P684" s="17" t="str">
        <f t="shared" si="2703"/>
        <v>n/a</v>
      </c>
      <c r="Q684" s="17" t="str">
        <f t="shared" ref="Q684:S684" si="2720">IFERROR(Q759-P759,"n/a")</f>
        <v>n/a</v>
      </c>
      <c r="R684" s="17" t="str">
        <f t="shared" si="2720"/>
        <v>n/a</v>
      </c>
      <c r="S684" s="17" t="str">
        <f t="shared" si="2720"/>
        <v>n/a</v>
      </c>
      <c r="T684" s="17" t="str">
        <f t="shared" si="2705"/>
        <v>n/a</v>
      </c>
      <c r="U684" s="17" t="str">
        <f t="shared" ref="U684:W684" si="2721">IFERROR(U759-T759,"n/a")</f>
        <v>n/a</v>
      </c>
      <c r="V684" s="17" t="str">
        <f t="shared" si="2721"/>
        <v>n/a</v>
      </c>
      <c r="W684" s="17" t="str">
        <f t="shared" si="2721"/>
        <v>n/a</v>
      </c>
      <c r="X684" s="17" t="str">
        <f t="shared" si="2707"/>
        <v>n/a</v>
      </c>
      <c r="Y684" s="17" t="str">
        <f t="shared" ref="Y684:AA684" si="2722">IFERROR(Y759-X759,"n/a")</f>
        <v>n/a</v>
      </c>
      <c r="Z684" s="17" t="str">
        <f t="shared" si="2722"/>
        <v>n/a</v>
      </c>
      <c r="AA684" s="17" t="str">
        <f t="shared" si="2722"/>
        <v>n/a</v>
      </c>
      <c r="AB684" s="17" t="str">
        <f t="shared" si="2709"/>
        <v>n/a</v>
      </c>
      <c r="AC684" s="17" t="str">
        <f t="shared" si="2710"/>
        <v>n/a</v>
      </c>
      <c r="AD684" s="17" t="str">
        <f t="shared" si="2710"/>
        <v>n/a</v>
      </c>
      <c r="AE684" s="17" t="str">
        <f t="shared" si="2710"/>
        <v>n/a</v>
      </c>
      <c r="AF684" s="17" t="str">
        <f t="shared" si="2711"/>
        <v>n/a</v>
      </c>
      <c r="AG684" s="17" t="str">
        <f t="shared" si="2710"/>
        <v>n/a</v>
      </c>
      <c r="AH684" s="17" t="str">
        <f t="shared" si="2710"/>
        <v>n/a</v>
      </c>
      <c r="AO684" s="11">
        <v>0</v>
      </c>
      <c r="AP684" s="11">
        <v>0</v>
      </c>
      <c r="AQ684" s="11">
        <v>0</v>
      </c>
      <c r="AR684" s="11">
        <v>0</v>
      </c>
      <c r="AS684" s="11">
        <v>-6722.2280000000001</v>
      </c>
      <c r="AT684" s="11">
        <v>-13628.052</v>
      </c>
      <c r="AU684" s="11">
        <v>-6795.8379999999997</v>
      </c>
      <c r="AV684" s="17">
        <f t="shared" si="2712"/>
        <v>-25051.222000000002</v>
      </c>
    </row>
    <row r="685" spans="2:48" x14ac:dyDescent="0.2">
      <c r="B685" t="s">
        <v>147</v>
      </c>
      <c r="H685" s="17" t="str">
        <f t="shared" si="2699"/>
        <v>n/a</v>
      </c>
      <c r="I685" s="17" t="str">
        <f t="shared" ref="I685:K685" si="2723">IFERROR(I760-H760,"n/a")</f>
        <v>n/a</v>
      </c>
      <c r="J685" s="17" t="str">
        <f t="shared" si="2723"/>
        <v>n/a</v>
      </c>
      <c r="K685" s="17" t="str">
        <f t="shared" si="2723"/>
        <v>n/a</v>
      </c>
      <c r="L685" s="17" t="str">
        <f t="shared" si="2701"/>
        <v>n/a</v>
      </c>
      <c r="M685" s="17" t="str">
        <f t="shared" ref="M685:O685" si="2724">IFERROR(M760-L760,"n/a")</f>
        <v>n/a</v>
      </c>
      <c r="N685" s="17" t="str">
        <f t="shared" si="2724"/>
        <v>n/a</v>
      </c>
      <c r="O685" s="17" t="str">
        <f t="shared" si="2724"/>
        <v>n/a</v>
      </c>
      <c r="P685" s="17" t="str">
        <f t="shared" si="2703"/>
        <v>n/a</v>
      </c>
      <c r="Q685" s="17" t="str">
        <f t="shared" ref="Q685:S685" si="2725">IFERROR(Q760-P760,"n/a")</f>
        <v>n/a</v>
      </c>
      <c r="R685" s="17" t="str">
        <f t="shared" si="2725"/>
        <v>n/a</v>
      </c>
      <c r="S685" s="17" t="str">
        <f t="shared" si="2725"/>
        <v>n/a</v>
      </c>
      <c r="T685" s="17" t="str">
        <f t="shared" si="2705"/>
        <v>n/a</v>
      </c>
      <c r="U685" s="17" t="str">
        <f t="shared" ref="U685:W685" si="2726">IFERROR(U760-T760,"n/a")</f>
        <v>n/a</v>
      </c>
      <c r="V685" s="17" t="str">
        <f t="shared" si="2726"/>
        <v>n/a</v>
      </c>
      <c r="W685" s="17" t="str">
        <f t="shared" si="2726"/>
        <v>n/a</v>
      </c>
      <c r="X685" s="17" t="str">
        <f t="shared" si="2707"/>
        <v>n/a</v>
      </c>
      <c r="Y685" s="17" t="str">
        <f t="shared" ref="Y685:AA685" si="2727">IFERROR(Y760-X760,"n/a")</f>
        <v>n/a</v>
      </c>
      <c r="Z685" s="17" t="str">
        <f t="shared" si="2727"/>
        <v>n/a</v>
      </c>
      <c r="AA685" s="17" t="str">
        <f t="shared" si="2727"/>
        <v>n/a</v>
      </c>
      <c r="AB685" s="17" t="str">
        <f t="shared" si="2709"/>
        <v>n/a</v>
      </c>
      <c r="AC685" s="17" t="str">
        <f t="shared" si="2710"/>
        <v>n/a</v>
      </c>
      <c r="AD685" s="17" t="str">
        <f t="shared" si="2710"/>
        <v>n/a</v>
      </c>
      <c r="AE685" s="17" t="str">
        <f t="shared" si="2710"/>
        <v>n/a</v>
      </c>
      <c r="AF685" s="17" t="str">
        <f t="shared" si="2711"/>
        <v>n/a</v>
      </c>
      <c r="AG685" s="17" t="str">
        <f t="shared" si="2710"/>
        <v>n/a</v>
      </c>
      <c r="AH685" s="17" t="str">
        <f t="shared" si="2710"/>
        <v>n/a</v>
      </c>
      <c r="AO685" s="11">
        <v>-15</v>
      </c>
      <c r="AP685" s="11">
        <v>0</v>
      </c>
      <c r="AQ685" s="11">
        <v>-184.637</v>
      </c>
      <c r="AR685" s="11">
        <v>-214.1</v>
      </c>
      <c r="AS685" s="11">
        <v>0</v>
      </c>
      <c r="AT685" s="11">
        <v>0</v>
      </c>
      <c r="AU685" s="11">
        <v>0</v>
      </c>
      <c r="AV685" s="17">
        <f t="shared" si="2712"/>
        <v>0</v>
      </c>
    </row>
    <row r="686" spans="2:48" x14ac:dyDescent="0.2">
      <c r="B686" t="s">
        <v>148</v>
      </c>
      <c r="H686" s="17" t="str">
        <f t="shared" si="2699"/>
        <v>n/a</v>
      </c>
      <c r="I686" s="17" t="str">
        <f t="shared" ref="I686:K686" si="2728">IFERROR(I761-H761,"n/a")</f>
        <v>n/a</v>
      </c>
      <c r="J686" s="17" t="str">
        <f t="shared" si="2728"/>
        <v>n/a</v>
      </c>
      <c r="K686" s="17" t="str">
        <f t="shared" si="2728"/>
        <v>n/a</v>
      </c>
      <c r="L686" s="17" t="str">
        <f t="shared" si="2701"/>
        <v>n/a</v>
      </c>
      <c r="M686" s="17" t="str">
        <f t="shared" ref="M686:O686" si="2729">IFERROR(M761-L761,"n/a")</f>
        <v>n/a</v>
      </c>
      <c r="N686" s="17" t="str">
        <f t="shared" si="2729"/>
        <v>n/a</v>
      </c>
      <c r="O686" s="17" t="str">
        <f t="shared" si="2729"/>
        <v>n/a</v>
      </c>
      <c r="P686" s="17" t="str">
        <f t="shared" si="2703"/>
        <v>n/a</v>
      </c>
      <c r="Q686" s="17" t="str">
        <f t="shared" ref="Q686:S686" si="2730">IFERROR(Q761-P761,"n/a")</f>
        <v>n/a</v>
      </c>
      <c r="R686" s="17" t="str">
        <f t="shared" si="2730"/>
        <v>n/a</v>
      </c>
      <c r="S686" s="17" t="str">
        <f t="shared" si="2730"/>
        <v>n/a</v>
      </c>
      <c r="T686" s="17" t="str">
        <f t="shared" si="2705"/>
        <v>n/a</v>
      </c>
      <c r="U686" s="17" t="str">
        <f t="shared" ref="U686:W686" si="2731">IFERROR(U761-T761,"n/a")</f>
        <v>n/a</v>
      </c>
      <c r="V686" s="17" t="str">
        <f t="shared" si="2731"/>
        <v>n/a</v>
      </c>
      <c r="W686" s="17" t="str">
        <f t="shared" si="2731"/>
        <v>n/a</v>
      </c>
      <c r="X686" s="17" t="str">
        <f t="shared" si="2707"/>
        <v>n/a</v>
      </c>
      <c r="Y686" s="17" t="str">
        <f t="shared" ref="Y686:AA686" si="2732">IFERROR(Y761-X761,"n/a")</f>
        <v>n/a</v>
      </c>
      <c r="Z686" s="17" t="str">
        <f t="shared" si="2732"/>
        <v>n/a</v>
      </c>
      <c r="AA686" s="17" t="str">
        <f t="shared" si="2732"/>
        <v>n/a</v>
      </c>
      <c r="AB686" s="17" t="str">
        <f t="shared" si="2709"/>
        <v>n/a</v>
      </c>
      <c r="AC686" s="17" t="str">
        <f t="shared" si="2710"/>
        <v>n/a</v>
      </c>
      <c r="AD686" s="17" t="str">
        <f t="shared" si="2710"/>
        <v>n/a</v>
      </c>
      <c r="AE686" s="17" t="str">
        <f t="shared" si="2710"/>
        <v>n/a</v>
      </c>
      <c r="AF686" s="17" t="str">
        <f t="shared" si="2711"/>
        <v>n/a</v>
      </c>
      <c r="AG686" s="17" t="str">
        <f t="shared" si="2710"/>
        <v>n/a</v>
      </c>
      <c r="AH686" s="17" t="str">
        <f t="shared" si="2710"/>
        <v>n/a</v>
      </c>
      <c r="AO686" s="11">
        <v>0</v>
      </c>
      <c r="AP686" s="11">
        <v>0</v>
      </c>
      <c r="AQ686" s="11">
        <v>5</v>
      </c>
      <c r="AR686" s="11">
        <v>0</v>
      </c>
      <c r="AS686" s="11">
        <v>0</v>
      </c>
      <c r="AT686" s="11">
        <v>0</v>
      </c>
      <c r="AU686" s="11">
        <v>7137.8140000000003</v>
      </c>
      <c r="AV686" s="17">
        <f t="shared" si="2712"/>
        <v>0</v>
      </c>
    </row>
    <row r="687" spans="2:48" x14ac:dyDescent="0.2">
      <c r="B687" t="s">
        <v>149</v>
      </c>
      <c r="H687" s="17" t="str">
        <f t="shared" si="2699"/>
        <v>n/a</v>
      </c>
      <c r="I687" s="17" t="str">
        <f t="shared" ref="I687:K687" si="2733">IFERROR(I762-H762,"n/a")</f>
        <v>n/a</v>
      </c>
      <c r="J687" s="17" t="str">
        <f t="shared" si="2733"/>
        <v>n/a</v>
      </c>
      <c r="K687" s="17" t="str">
        <f t="shared" si="2733"/>
        <v>n/a</v>
      </c>
      <c r="L687" s="17" t="str">
        <f t="shared" si="2701"/>
        <v>n/a</v>
      </c>
      <c r="M687" s="17" t="str">
        <f t="shared" ref="M687:O687" si="2734">IFERROR(M762-L762,"n/a")</f>
        <v>n/a</v>
      </c>
      <c r="N687" s="17" t="str">
        <f t="shared" si="2734"/>
        <v>n/a</v>
      </c>
      <c r="O687" s="17" t="str">
        <f t="shared" si="2734"/>
        <v>n/a</v>
      </c>
      <c r="P687" s="17" t="str">
        <f t="shared" si="2703"/>
        <v>n/a</v>
      </c>
      <c r="Q687" s="17" t="str">
        <f t="shared" ref="Q687:S687" si="2735">IFERROR(Q762-P762,"n/a")</f>
        <v>n/a</v>
      </c>
      <c r="R687" s="17" t="str">
        <f t="shared" si="2735"/>
        <v>n/a</v>
      </c>
      <c r="S687" s="17" t="str">
        <f t="shared" si="2735"/>
        <v>n/a</v>
      </c>
      <c r="T687" s="17" t="str">
        <f t="shared" si="2705"/>
        <v>n/a</v>
      </c>
      <c r="U687" s="17" t="str">
        <f t="shared" ref="U687:W687" si="2736">IFERROR(U762-T762,"n/a")</f>
        <v>n/a</v>
      </c>
      <c r="V687" s="17" t="str">
        <f t="shared" si="2736"/>
        <v>n/a</v>
      </c>
      <c r="W687" s="17" t="str">
        <f t="shared" si="2736"/>
        <v>n/a</v>
      </c>
      <c r="X687" s="17" t="str">
        <f t="shared" si="2707"/>
        <v>n/a</v>
      </c>
      <c r="Y687" s="17" t="str">
        <f t="shared" ref="Y687:AA687" si="2737">IFERROR(Y762-X762,"n/a")</f>
        <v>n/a</v>
      </c>
      <c r="Z687" s="17" t="str">
        <f t="shared" si="2737"/>
        <v>n/a</v>
      </c>
      <c r="AA687" s="17" t="str">
        <f t="shared" si="2737"/>
        <v>n/a</v>
      </c>
      <c r="AB687" s="17" t="str">
        <f t="shared" si="2709"/>
        <v>n/a</v>
      </c>
      <c r="AC687" s="17" t="str">
        <f t="shared" si="2710"/>
        <v>n/a</v>
      </c>
      <c r="AD687" s="17" t="str">
        <f t="shared" si="2710"/>
        <v>n/a</v>
      </c>
      <c r="AE687" s="17" t="str">
        <f t="shared" si="2710"/>
        <v>n/a</v>
      </c>
      <c r="AF687" s="17" t="str">
        <f t="shared" si="2711"/>
        <v>n/a</v>
      </c>
      <c r="AG687" s="17" t="str">
        <f t="shared" si="2710"/>
        <v>n/a</v>
      </c>
      <c r="AH687" s="17" t="str">
        <f t="shared" si="2710"/>
        <v>n/a</v>
      </c>
      <c r="AO687" s="11">
        <v>0</v>
      </c>
      <c r="AP687" s="11">
        <v>0</v>
      </c>
      <c r="AQ687" s="11">
        <v>0</v>
      </c>
      <c r="AR687" s="11">
        <v>0</v>
      </c>
      <c r="AS687" s="11">
        <v>0</v>
      </c>
      <c r="AT687" s="11">
        <v>0</v>
      </c>
      <c r="AU687" s="11">
        <v>-3581.8679999999999</v>
      </c>
      <c r="AV687" s="17">
        <f t="shared" si="2712"/>
        <v>-17318.332999999999</v>
      </c>
    </row>
    <row r="688" spans="2:48" x14ac:dyDescent="0.2">
      <c r="B688" t="s">
        <v>447</v>
      </c>
      <c r="H688" s="17"/>
      <c r="I688" s="17"/>
      <c r="J688" s="17"/>
      <c r="K688" s="17"/>
      <c r="L688" s="17" t="str">
        <f t="shared" si="2701"/>
        <v>n/a</v>
      </c>
      <c r="M688" s="17" t="str">
        <f t="shared" ref="M688" si="2738">IFERROR(M763-L763,"n/a")</f>
        <v>n/a</v>
      </c>
      <c r="N688" s="17" t="str">
        <f t="shared" ref="N688" si="2739">IFERROR(N763-M763,"n/a")</f>
        <v>n/a</v>
      </c>
      <c r="O688" s="17" t="str">
        <f t="shared" ref="O688" si="2740">IFERROR(O763-N763,"n/a")</f>
        <v>n/a</v>
      </c>
      <c r="P688" s="17" t="str">
        <f t="shared" si="2703"/>
        <v>n/a</v>
      </c>
      <c r="Q688" s="17" t="str">
        <f t="shared" ref="Q688" si="2741">IFERROR(Q763-P763,"n/a")</f>
        <v>n/a</v>
      </c>
      <c r="R688" s="17" t="str">
        <f t="shared" ref="R688" si="2742">IFERROR(R763-Q763,"n/a")</f>
        <v>n/a</v>
      </c>
      <c r="S688" s="17" t="str">
        <f t="shared" ref="S688" si="2743">IFERROR(S763-R763,"n/a")</f>
        <v>n/a</v>
      </c>
      <c r="T688" s="17" t="str">
        <f t="shared" si="2705"/>
        <v>n/a</v>
      </c>
      <c r="U688" s="17" t="str">
        <f t="shared" ref="U688" si="2744">IFERROR(U763-T763,"n/a")</f>
        <v>n/a</v>
      </c>
      <c r="V688" s="17" t="str">
        <f t="shared" ref="V688" si="2745">IFERROR(V763-U763,"n/a")</f>
        <v>n/a</v>
      </c>
      <c r="W688" s="17" t="str">
        <f t="shared" ref="W688" si="2746">IFERROR(W763-V763,"n/a")</f>
        <v>n/a</v>
      </c>
      <c r="X688" s="17" t="str">
        <f t="shared" si="2707"/>
        <v>n/a</v>
      </c>
      <c r="Y688" s="17" t="str">
        <f t="shared" ref="Y688" si="2747">IFERROR(Y763-X763,"n/a")</f>
        <v>n/a</v>
      </c>
      <c r="Z688" s="17" t="str">
        <f t="shared" ref="Z688" si="2748">IFERROR(Z763-Y763,"n/a")</f>
        <v>n/a</v>
      </c>
      <c r="AA688" s="17" t="str">
        <f t="shared" ref="AA688" si="2749">IFERROR(AA763-Z763,"n/a")</f>
        <v>n/a</v>
      </c>
      <c r="AB688" s="17" t="str">
        <f t="shared" si="2709"/>
        <v>n/a</v>
      </c>
      <c r="AC688" s="17" t="str">
        <f t="shared" ref="AC688" si="2750">IFERROR(AC763-AB763,"n/a")</f>
        <v>n/a</v>
      </c>
      <c r="AD688" s="17" t="str">
        <f t="shared" ref="AD688" si="2751">IFERROR(AD763-AC763,"n/a")</f>
        <v>n/a</v>
      </c>
      <c r="AE688" s="17" t="str">
        <f t="shared" ref="AE688" si="2752">IFERROR(AE763-AD763,"n/a")</f>
        <v>n/a</v>
      </c>
      <c r="AF688" s="17" t="str">
        <f t="shared" si="2711"/>
        <v>n/a</v>
      </c>
      <c r="AG688" s="17" t="str">
        <f t="shared" si="2710"/>
        <v>n/a</v>
      </c>
      <c r="AH688" s="17" t="str">
        <f t="shared" si="2710"/>
        <v>n/a</v>
      </c>
      <c r="AO688" s="11">
        <v>0</v>
      </c>
      <c r="AP688" s="11">
        <v>0</v>
      </c>
      <c r="AQ688" s="11">
        <v>0</v>
      </c>
      <c r="AR688" s="11">
        <v>0</v>
      </c>
      <c r="AS688" s="11">
        <v>0</v>
      </c>
      <c r="AT688" s="11">
        <v>0</v>
      </c>
      <c r="AU688" s="11">
        <v>0</v>
      </c>
      <c r="AV688" s="17">
        <f t="shared" si="2712"/>
        <v>4206.3590000000004</v>
      </c>
    </row>
    <row r="689" spans="2:48" x14ac:dyDescent="0.2">
      <c r="B689" t="s">
        <v>150</v>
      </c>
      <c r="H689" s="17" t="str">
        <f t="shared" ref="H689:H696" si="2753">H764</f>
        <v>n/a</v>
      </c>
      <c r="I689" s="17" t="str">
        <f t="shared" ref="I689:K689" si="2754">IFERROR(I764-H764,"n/a")</f>
        <v>n/a</v>
      </c>
      <c r="J689" s="17" t="str">
        <f t="shared" si="2754"/>
        <v>n/a</v>
      </c>
      <c r="K689" s="17" t="str">
        <f t="shared" si="2754"/>
        <v>n/a</v>
      </c>
      <c r="L689" s="17" t="str">
        <f t="shared" ref="L689:L696" si="2755">L764</f>
        <v>n/a</v>
      </c>
      <c r="M689" s="17" t="str">
        <f t="shared" ref="M689:O689" si="2756">IFERROR(M764-L764,"n/a")</f>
        <v>n/a</v>
      </c>
      <c r="N689" s="17" t="str">
        <f t="shared" si="2756"/>
        <v>n/a</v>
      </c>
      <c r="O689" s="17" t="str">
        <f t="shared" si="2756"/>
        <v>n/a</v>
      </c>
      <c r="P689" s="17" t="str">
        <f t="shared" ref="P689:P696" si="2757">P764</f>
        <v>n/a</v>
      </c>
      <c r="Q689" s="17" t="str">
        <f t="shared" ref="Q689:S689" si="2758">IFERROR(Q764-P764,"n/a")</f>
        <v>n/a</v>
      </c>
      <c r="R689" s="17" t="str">
        <f t="shared" si="2758"/>
        <v>n/a</v>
      </c>
      <c r="S689" s="17" t="str">
        <f t="shared" si="2758"/>
        <v>n/a</v>
      </c>
      <c r="T689" s="17" t="str">
        <f t="shared" ref="T689:T696" si="2759">T764</f>
        <v>n/a</v>
      </c>
      <c r="U689" s="17" t="str">
        <f t="shared" ref="U689:W689" si="2760">IFERROR(U764-T764,"n/a")</f>
        <v>n/a</v>
      </c>
      <c r="V689" s="17" t="str">
        <f t="shared" si="2760"/>
        <v>n/a</v>
      </c>
      <c r="W689" s="17" t="str">
        <f t="shared" si="2760"/>
        <v>n/a</v>
      </c>
      <c r="X689" s="17" t="str">
        <f t="shared" ref="X689:X696" si="2761">X764</f>
        <v>n/a</v>
      </c>
      <c r="Y689" s="17" t="str">
        <f t="shared" ref="Y689:AA689" si="2762">IFERROR(Y764-X764,"n/a")</f>
        <v>n/a</v>
      </c>
      <c r="Z689" s="17" t="str">
        <f t="shared" si="2762"/>
        <v>n/a</v>
      </c>
      <c r="AA689" s="17" t="str">
        <f t="shared" si="2762"/>
        <v>n/a</v>
      </c>
      <c r="AB689" s="17" t="str">
        <f t="shared" ref="AB689:AB696" si="2763">AB764</f>
        <v>n/a</v>
      </c>
      <c r="AC689" s="17" t="str">
        <f t="shared" ref="AC689:AH696" si="2764">IFERROR(AC764-AB764,"n/a")</f>
        <v>n/a</v>
      </c>
      <c r="AD689" s="17" t="str">
        <f t="shared" si="2764"/>
        <v>n/a</v>
      </c>
      <c r="AE689" s="17" t="str">
        <f t="shared" si="2764"/>
        <v>n/a</v>
      </c>
      <c r="AF689" s="17" t="str">
        <f t="shared" si="2711"/>
        <v>n/a</v>
      </c>
      <c r="AG689" s="17" t="str">
        <f t="shared" si="2764"/>
        <v>n/a</v>
      </c>
      <c r="AH689" s="17" t="str">
        <f t="shared" si="2764"/>
        <v>n/a</v>
      </c>
      <c r="AO689" s="11">
        <v>-2.3010000000000002</v>
      </c>
      <c r="AP689" s="11">
        <v>-8.9209999999999994</v>
      </c>
      <c r="AQ689" s="11">
        <v>-27.331</v>
      </c>
      <c r="AR689" s="11">
        <v>-27.436</v>
      </c>
      <c r="AS689" s="11">
        <v>-43.045999999999999</v>
      </c>
      <c r="AT689" s="11">
        <v>-3287.232</v>
      </c>
      <c r="AU689" s="11">
        <v>-635.71600000000001</v>
      </c>
      <c r="AV689" s="17">
        <f t="shared" ref="AV689:AV696" si="2765">AV764</f>
        <v>-583.87900000000002</v>
      </c>
    </row>
    <row r="690" spans="2:48" x14ac:dyDescent="0.2">
      <c r="B690" t="s">
        <v>151</v>
      </c>
      <c r="H690" s="17" t="str">
        <f t="shared" si="2753"/>
        <v>n/a</v>
      </c>
      <c r="I690" s="17" t="str">
        <f t="shared" ref="I690:K690" si="2766">IFERROR(I765-H765,"n/a")</f>
        <v>n/a</v>
      </c>
      <c r="J690" s="17" t="str">
        <f t="shared" si="2766"/>
        <v>n/a</v>
      </c>
      <c r="K690" s="17" t="str">
        <f t="shared" si="2766"/>
        <v>n/a</v>
      </c>
      <c r="L690" s="17" t="str">
        <f t="shared" si="2755"/>
        <v>n/a</v>
      </c>
      <c r="M690" s="17" t="str">
        <f t="shared" ref="M690:O690" si="2767">IFERROR(M765-L765,"n/a")</f>
        <v>n/a</v>
      </c>
      <c r="N690" s="17" t="str">
        <f t="shared" si="2767"/>
        <v>n/a</v>
      </c>
      <c r="O690" s="17" t="str">
        <f t="shared" si="2767"/>
        <v>n/a</v>
      </c>
      <c r="P690" s="17" t="str">
        <f t="shared" si="2757"/>
        <v>n/a</v>
      </c>
      <c r="Q690" s="17" t="str">
        <f t="shared" ref="Q690:S690" si="2768">IFERROR(Q765-P765,"n/a")</f>
        <v>n/a</v>
      </c>
      <c r="R690" s="17" t="str">
        <f t="shared" si="2768"/>
        <v>n/a</v>
      </c>
      <c r="S690" s="17" t="str">
        <f t="shared" si="2768"/>
        <v>n/a</v>
      </c>
      <c r="T690" s="17" t="str">
        <f t="shared" si="2759"/>
        <v>n/a</v>
      </c>
      <c r="U690" s="17" t="str">
        <f t="shared" ref="U690:W690" si="2769">IFERROR(U765-T765,"n/a")</f>
        <v>n/a</v>
      </c>
      <c r="V690" s="17" t="str">
        <f t="shared" si="2769"/>
        <v>n/a</v>
      </c>
      <c r="W690" s="17" t="str">
        <f t="shared" si="2769"/>
        <v>n/a</v>
      </c>
      <c r="X690" s="17" t="str">
        <f t="shared" si="2761"/>
        <v>n/a</v>
      </c>
      <c r="Y690" s="17" t="str">
        <f t="shared" ref="Y690:AA690" si="2770">IFERROR(Y765-X765,"n/a")</f>
        <v>n/a</v>
      </c>
      <c r="Z690" s="17" t="str">
        <f t="shared" si="2770"/>
        <v>n/a</v>
      </c>
      <c r="AA690" s="17" t="str">
        <f t="shared" si="2770"/>
        <v>n/a</v>
      </c>
      <c r="AB690" s="17" t="str">
        <f t="shared" si="2763"/>
        <v>n/a</v>
      </c>
      <c r="AC690" s="17" t="str">
        <f t="shared" si="2764"/>
        <v>n/a</v>
      </c>
      <c r="AD690" s="17" t="str">
        <f t="shared" si="2764"/>
        <v>n/a</v>
      </c>
      <c r="AE690" s="17" t="str">
        <f t="shared" si="2764"/>
        <v>n/a</v>
      </c>
      <c r="AF690" s="17" t="str">
        <f t="shared" si="2711"/>
        <v>n/a</v>
      </c>
      <c r="AG690" s="17" t="str">
        <f t="shared" si="2764"/>
        <v>n/a</v>
      </c>
      <c r="AH690" s="17" t="str">
        <f t="shared" si="2764"/>
        <v>n/a</v>
      </c>
      <c r="AO690" s="11">
        <v>0</v>
      </c>
      <c r="AP690" s="11">
        <v>0.36199999999999999</v>
      </c>
      <c r="AQ690" s="11">
        <v>3.9E-2</v>
      </c>
      <c r="AR690" s="11">
        <v>0.47499999999999998</v>
      </c>
      <c r="AS690" s="11">
        <v>5.0999999999999997E-2</v>
      </c>
      <c r="AT690" s="11">
        <v>0.39400000000000002</v>
      </c>
      <c r="AU690" s="11">
        <v>0.04</v>
      </c>
      <c r="AV690" s="17">
        <f t="shared" si="2765"/>
        <v>0.45</v>
      </c>
    </row>
    <row r="691" spans="2:48" x14ac:dyDescent="0.2">
      <c r="B691" t="s">
        <v>152</v>
      </c>
      <c r="H691" s="17" t="str">
        <f t="shared" si="2753"/>
        <v>n/a</v>
      </c>
      <c r="I691" s="17" t="str">
        <f t="shared" ref="I691:K691" si="2771">IFERROR(I766-H766,"n/a")</f>
        <v>n/a</v>
      </c>
      <c r="J691" s="17" t="str">
        <f t="shared" si="2771"/>
        <v>n/a</v>
      </c>
      <c r="K691" s="17" t="str">
        <f t="shared" si="2771"/>
        <v>n/a</v>
      </c>
      <c r="L691" s="17" t="str">
        <f t="shared" si="2755"/>
        <v>n/a</v>
      </c>
      <c r="M691" s="17" t="str">
        <f t="shared" ref="M691:O691" si="2772">IFERROR(M766-L766,"n/a")</f>
        <v>n/a</v>
      </c>
      <c r="N691" s="17" t="str">
        <f t="shared" si="2772"/>
        <v>n/a</v>
      </c>
      <c r="O691" s="17" t="str">
        <f t="shared" si="2772"/>
        <v>n/a</v>
      </c>
      <c r="P691" s="17" t="str">
        <f t="shared" si="2757"/>
        <v>n/a</v>
      </c>
      <c r="Q691" s="17" t="str">
        <f t="shared" ref="Q691:S691" si="2773">IFERROR(Q766-P766,"n/a")</f>
        <v>n/a</v>
      </c>
      <c r="R691" s="17" t="str">
        <f t="shared" si="2773"/>
        <v>n/a</v>
      </c>
      <c r="S691" s="17" t="str">
        <f t="shared" si="2773"/>
        <v>n/a</v>
      </c>
      <c r="T691" s="17" t="str">
        <f t="shared" si="2759"/>
        <v>n/a</v>
      </c>
      <c r="U691" s="17" t="str">
        <f t="shared" ref="U691:W691" si="2774">IFERROR(U766-T766,"n/a")</f>
        <v>n/a</v>
      </c>
      <c r="V691" s="17" t="str">
        <f t="shared" si="2774"/>
        <v>n/a</v>
      </c>
      <c r="W691" s="17" t="str">
        <f t="shared" si="2774"/>
        <v>n/a</v>
      </c>
      <c r="X691" s="17" t="str">
        <f t="shared" si="2761"/>
        <v>n/a</v>
      </c>
      <c r="Y691" s="17" t="str">
        <f t="shared" ref="Y691:AA691" si="2775">IFERROR(Y766-X766,"n/a")</f>
        <v>n/a</v>
      </c>
      <c r="Z691" s="17" t="str">
        <f t="shared" si="2775"/>
        <v>n/a</v>
      </c>
      <c r="AA691" s="17" t="str">
        <f t="shared" si="2775"/>
        <v>n/a</v>
      </c>
      <c r="AB691" s="17" t="str">
        <f t="shared" si="2763"/>
        <v>n/a</v>
      </c>
      <c r="AC691" s="17" t="str">
        <f t="shared" si="2764"/>
        <v>n/a</v>
      </c>
      <c r="AD691" s="17" t="str">
        <f t="shared" si="2764"/>
        <v>n/a</v>
      </c>
      <c r="AE691" s="17" t="str">
        <f t="shared" si="2764"/>
        <v>n/a</v>
      </c>
      <c r="AF691" s="17" t="str">
        <f t="shared" si="2711"/>
        <v>n/a</v>
      </c>
      <c r="AG691" s="17" t="str">
        <f t="shared" si="2764"/>
        <v>n/a</v>
      </c>
      <c r="AH691" s="17" t="str">
        <f t="shared" si="2764"/>
        <v>n/a</v>
      </c>
      <c r="AO691" s="11">
        <v>0</v>
      </c>
      <c r="AP691" s="11">
        <v>0</v>
      </c>
      <c r="AQ691" s="11">
        <v>159.79</v>
      </c>
      <c r="AR691" s="11">
        <v>0</v>
      </c>
      <c r="AS691" s="11">
        <v>0</v>
      </c>
      <c r="AT691" s="11">
        <v>0</v>
      </c>
      <c r="AU691" s="11">
        <v>0</v>
      </c>
      <c r="AV691" s="17">
        <f t="shared" si="2765"/>
        <v>0</v>
      </c>
    </row>
    <row r="692" spans="2:48" x14ac:dyDescent="0.2">
      <c r="B692" t="s">
        <v>153</v>
      </c>
      <c r="H692" s="17" t="str">
        <f t="shared" si="2753"/>
        <v>n/a</v>
      </c>
      <c r="I692" s="17" t="str">
        <f t="shared" ref="I692:K692" si="2776">IFERROR(I767-H767,"n/a")</f>
        <v>n/a</v>
      </c>
      <c r="J692" s="17" t="str">
        <f t="shared" si="2776"/>
        <v>n/a</v>
      </c>
      <c r="K692" s="17" t="str">
        <f t="shared" si="2776"/>
        <v>n/a</v>
      </c>
      <c r="L692" s="17" t="str">
        <f t="shared" si="2755"/>
        <v>n/a</v>
      </c>
      <c r="M692" s="17" t="str">
        <f t="shared" ref="M692:O692" si="2777">IFERROR(M767-L767,"n/a")</f>
        <v>n/a</v>
      </c>
      <c r="N692" s="17" t="str">
        <f t="shared" si="2777"/>
        <v>n/a</v>
      </c>
      <c r="O692" s="17" t="str">
        <f t="shared" si="2777"/>
        <v>n/a</v>
      </c>
      <c r="P692" s="17" t="str">
        <f t="shared" si="2757"/>
        <v>n/a</v>
      </c>
      <c r="Q692" s="17" t="str">
        <f t="shared" ref="Q692:S692" si="2778">IFERROR(Q767-P767,"n/a")</f>
        <v>n/a</v>
      </c>
      <c r="R692" s="17" t="str">
        <f t="shared" si="2778"/>
        <v>n/a</v>
      </c>
      <c r="S692" s="17" t="str">
        <f t="shared" si="2778"/>
        <v>n/a</v>
      </c>
      <c r="T692" s="17" t="str">
        <f t="shared" si="2759"/>
        <v>n/a</v>
      </c>
      <c r="U692" s="17" t="str">
        <f t="shared" ref="U692:W692" si="2779">IFERROR(U767-T767,"n/a")</f>
        <v>n/a</v>
      </c>
      <c r="V692" s="17" t="str">
        <f t="shared" si="2779"/>
        <v>n/a</v>
      </c>
      <c r="W692" s="17" t="str">
        <f t="shared" si="2779"/>
        <v>n/a</v>
      </c>
      <c r="X692" s="17" t="str">
        <f t="shared" si="2761"/>
        <v>n/a</v>
      </c>
      <c r="Y692" s="17" t="str">
        <f t="shared" ref="Y692:AA692" si="2780">IFERROR(Y767-X767,"n/a")</f>
        <v>n/a</v>
      </c>
      <c r="Z692" s="17" t="str">
        <f t="shared" si="2780"/>
        <v>n/a</v>
      </c>
      <c r="AA692" s="17" t="str">
        <f t="shared" si="2780"/>
        <v>n/a</v>
      </c>
      <c r="AB692" s="17" t="str">
        <f t="shared" si="2763"/>
        <v>n/a</v>
      </c>
      <c r="AC692" s="17" t="str">
        <f t="shared" si="2764"/>
        <v>n/a</v>
      </c>
      <c r="AD692" s="17" t="str">
        <f t="shared" si="2764"/>
        <v>n/a</v>
      </c>
      <c r="AE692" s="17" t="str">
        <f t="shared" si="2764"/>
        <v>n/a</v>
      </c>
      <c r="AF692" s="17" t="str">
        <f t="shared" si="2711"/>
        <v>n/a</v>
      </c>
      <c r="AG692" s="17" t="str">
        <f t="shared" si="2764"/>
        <v>n/a</v>
      </c>
      <c r="AH692" s="17" t="str">
        <f t="shared" si="2764"/>
        <v>n/a</v>
      </c>
      <c r="AO692" s="11">
        <v>0</v>
      </c>
      <c r="AP692" s="11">
        <v>0</v>
      </c>
      <c r="AQ692" s="11">
        <v>-35</v>
      </c>
      <c r="AR692" s="11">
        <v>35</v>
      </c>
      <c r="AS692" s="11">
        <v>-238</v>
      </c>
      <c r="AT692" s="11">
        <v>0</v>
      </c>
      <c r="AU692" s="11">
        <v>0</v>
      </c>
      <c r="AV692" s="17">
        <f t="shared" si="2765"/>
        <v>0</v>
      </c>
    </row>
    <row r="693" spans="2:48" x14ac:dyDescent="0.2">
      <c r="B693" t="s">
        <v>154</v>
      </c>
      <c r="H693" s="17" t="str">
        <f t="shared" si="2753"/>
        <v>n/a</v>
      </c>
      <c r="I693" s="17" t="str">
        <f t="shared" ref="I693:K693" si="2781">IFERROR(I768-H768,"n/a")</f>
        <v>n/a</v>
      </c>
      <c r="J693" s="17" t="str">
        <f t="shared" si="2781"/>
        <v>n/a</v>
      </c>
      <c r="K693" s="17" t="str">
        <f t="shared" si="2781"/>
        <v>n/a</v>
      </c>
      <c r="L693" s="17" t="str">
        <f t="shared" si="2755"/>
        <v>n/a</v>
      </c>
      <c r="M693" s="17" t="str">
        <f t="shared" ref="M693:O693" si="2782">IFERROR(M768-L768,"n/a")</f>
        <v>n/a</v>
      </c>
      <c r="N693" s="17" t="str">
        <f t="shared" si="2782"/>
        <v>n/a</v>
      </c>
      <c r="O693" s="17" t="str">
        <f t="shared" si="2782"/>
        <v>n/a</v>
      </c>
      <c r="P693" s="17" t="str">
        <f t="shared" si="2757"/>
        <v>n/a</v>
      </c>
      <c r="Q693" s="17" t="str">
        <f t="shared" ref="Q693:S693" si="2783">IFERROR(Q768-P768,"n/a")</f>
        <v>n/a</v>
      </c>
      <c r="R693" s="17" t="str">
        <f t="shared" si="2783"/>
        <v>n/a</v>
      </c>
      <c r="S693" s="17" t="str">
        <f t="shared" si="2783"/>
        <v>n/a</v>
      </c>
      <c r="T693" s="17" t="str">
        <f t="shared" si="2759"/>
        <v>n/a</v>
      </c>
      <c r="U693" s="17" t="str">
        <f t="shared" ref="U693:W693" si="2784">IFERROR(U768-T768,"n/a")</f>
        <v>n/a</v>
      </c>
      <c r="V693" s="17" t="str">
        <f t="shared" si="2784"/>
        <v>n/a</v>
      </c>
      <c r="W693" s="17" t="str">
        <f t="shared" si="2784"/>
        <v>n/a</v>
      </c>
      <c r="X693" s="17" t="str">
        <f t="shared" si="2761"/>
        <v>n/a</v>
      </c>
      <c r="Y693" s="17" t="str">
        <f t="shared" ref="Y693:AA693" si="2785">IFERROR(Y768-X768,"n/a")</f>
        <v>n/a</v>
      </c>
      <c r="Z693" s="17" t="str">
        <f t="shared" si="2785"/>
        <v>n/a</v>
      </c>
      <c r="AA693" s="17" t="str">
        <f t="shared" si="2785"/>
        <v>n/a</v>
      </c>
      <c r="AB693" s="17" t="str">
        <f t="shared" si="2763"/>
        <v>n/a</v>
      </c>
      <c r="AC693" s="17" t="str">
        <f t="shared" si="2764"/>
        <v>n/a</v>
      </c>
      <c r="AD693" s="17" t="str">
        <f t="shared" si="2764"/>
        <v>n/a</v>
      </c>
      <c r="AE693" s="17" t="str">
        <f t="shared" si="2764"/>
        <v>n/a</v>
      </c>
      <c r="AF693" s="17" t="str">
        <f t="shared" si="2711"/>
        <v>n/a</v>
      </c>
      <c r="AG693" s="17" t="str">
        <f t="shared" si="2764"/>
        <v>n/a</v>
      </c>
      <c r="AH693" s="17" t="str">
        <f t="shared" si="2764"/>
        <v>n/a</v>
      </c>
      <c r="AO693" s="11">
        <v>0</v>
      </c>
      <c r="AP693" s="11">
        <v>0</v>
      </c>
      <c r="AQ693" s="11">
        <v>0</v>
      </c>
      <c r="AR693" s="11">
        <v>0</v>
      </c>
      <c r="AS693" s="11">
        <v>0</v>
      </c>
      <c r="AT693" s="11">
        <v>0</v>
      </c>
      <c r="AU693" s="11">
        <v>0</v>
      </c>
      <c r="AV693" s="17">
        <f t="shared" si="2765"/>
        <v>0</v>
      </c>
    </row>
    <row r="694" spans="2:48" x14ac:dyDescent="0.2">
      <c r="B694" t="s">
        <v>155</v>
      </c>
      <c r="H694" s="17" t="str">
        <f t="shared" si="2753"/>
        <v>n/a</v>
      </c>
      <c r="I694" s="17" t="str">
        <f t="shared" ref="I694:K694" si="2786">IFERROR(I769-H769,"n/a")</f>
        <v>n/a</v>
      </c>
      <c r="J694" s="17" t="str">
        <f t="shared" si="2786"/>
        <v>n/a</v>
      </c>
      <c r="K694" s="17" t="str">
        <f t="shared" si="2786"/>
        <v>n/a</v>
      </c>
      <c r="L694" s="17" t="str">
        <f t="shared" si="2755"/>
        <v>n/a</v>
      </c>
      <c r="M694" s="17" t="str">
        <f t="shared" ref="M694:O694" si="2787">IFERROR(M769-L769,"n/a")</f>
        <v>n/a</v>
      </c>
      <c r="N694" s="17" t="str">
        <f t="shared" si="2787"/>
        <v>n/a</v>
      </c>
      <c r="O694" s="17" t="str">
        <f t="shared" si="2787"/>
        <v>n/a</v>
      </c>
      <c r="P694" s="17" t="str">
        <f t="shared" si="2757"/>
        <v>n/a</v>
      </c>
      <c r="Q694" s="17" t="str">
        <f t="shared" ref="Q694:S694" si="2788">IFERROR(Q769-P769,"n/a")</f>
        <v>n/a</v>
      </c>
      <c r="R694" s="17" t="str">
        <f t="shared" si="2788"/>
        <v>n/a</v>
      </c>
      <c r="S694" s="17" t="str">
        <f t="shared" si="2788"/>
        <v>n/a</v>
      </c>
      <c r="T694" s="17" t="str">
        <f t="shared" si="2759"/>
        <v>n/a</v>
      </c>
      <c r="U694" s="17" t="str">
        <f t="shared" ref="U694:W694" si="2789">IFERROR(U769-T769,"n/a")</f>
        <v>n/a</v>
      </c>
      <c r="V694" s="17" t="str">
        <f t="shared" si="2789"/>
        <v>n/a</v>
      </c>
      <c r="W694" s="17" t="str">
        <f t="shared" si="2789"/>
        <v>n/a</v>
      </c>
      <c r="X694" s="17" t="str">
        <f t="shared" si="2761"/>
        <v>n/a</v>
      </c>
      <c r="Y694" s="17" t="str">
        <f t="shared" ref="Y694:AA694" si="2790">IFERROR(Y769-X769,"n/a")</f>
        <v>n/a</v>
      </c>
      <c r="Z694" s="17" t="str">
        <f t="shared" si="2790"/>
        <v>n/a</v>
      </c>
      <c r="AA694" s="17" t="str">
        <f t="shared" si="2790"/>
        <v>n/a</v>
      </c>
      <c r="AB694" s="17" t="str">
        <f t="shared" si="2763"/>
        <v>n/a</v>
      </c>
      <c r="AC694" s="17" t="str">
        <f t="shared" si="2764"/>
        <v>n/a</v>
      </c>
      <c r="AD694" s="17" t="str">
        <f t="shared" si="2764"/>
        <v>n/a</v>
      </c>
      <c r="AE694" s="17" t="str">
        <f t="shared" si="2764"/>
        <v>n/a</v>
      </c>
      <c r="AF694" s="17" t="str">
        <f t="shared" si="2711"/>
        <v>n/a</v>
      </c>
      <c r="AG694" s="17" t="str">
        <f t="shared" si="2764"/>
        <v>n/a</v>
      </c>
      <c r="AH694" s="17" t="str">
        <f t="shared" si="2764"/>
        <v>n/a</v>
      </c>
      <c r="AO694" s="11">
        <v>0</v>
      </c>
      <c r="AP694" s="11">
        <v>-159.79</v>
      </c>
      <c r="AQ694" s="11"/>
      <c r="AR694" s="11">
        <v>-459.63200000000001</v>
      </c>
      <c r="AS694" s="11">
        <v>0</v>
      </c>
      <c r="AT694" s="11">
        <v>0</v>
      </c>
      <c r="AU694" s="11">
        <v>0</v>
      </c>
      <c r="AV694" s="17">
        <f t="shared" si="2765"/>
        <v>0</v>
      </c>
    </row>
    <row r="695" spans="2:48" ht="13.5" x14ac:dyDescent="0.35">
      <c r="B695" t="s">
        <v>96</v>
      </c>
      <c r="H695" s="36" t="str">
        <f t="shared" si="2753"/>
        <v>n/a</v>
      </c>
      <c r="I695" s="36" t="str">
        <f t="shared" ref="I695:K695" si="2791">IFERROR(I770-H770,"n/a")</f>
        <v>n/a</v>
      </c>
      <c r="J695" s="36" t="str">
        <f t="shared" si="2791"/>
        <v>n/a</v>
      </c>
      <c r="K695" s="36" t="str">
        <f t="shared" si="2791"/>
        <v>n/a</v>
      </c>
      <c r="L695" s="36" t="str">
        <f t="shared" si="2755"/>
        <v>n/a</v>
      </c>
      <c r="M695" s="36" t="str">
        <f t="shared" ref="M695:O695" si="2792">IFERROR(M770-L770,"n/a")</f>
        <v>n/a</v>
      </c>
      <c r="N695" s="36" t="str">
        <f t="shared" si="2792"/>
        <v>n/a</v>
      </c>
      <c r="O695" s="36" t="str">
        <f t="shared" si="2792"/>
        <v>n/a</v>
      </c>
      <c r="P695" s="36" t="str">
        <f t="shared" si="2757"/>
        <v>n/a</v>
      </c>
      <c r="Q695" s="36" t="str">
        <f t="shared" ref="Q695:S695" si="2793">IFERROR(Q770-P770,"n/a")</f>
        <v>n/a</v>
      </c>
      <c r="R695" s="36" t="str">
        <f t="shared" si="2793"/>
        <v>n/a</v>
      </c>
      <c r="S695" s="36" t="str">
        <f t="shared" si="2793"/>
        <v>n/a</v>
      </c>
      <c r="T695" s="36" t="str">
        <f t="shared" si="2759"/>
        <v>n/a</v>
      </c>
      <c r="U695" s="36" t="str">
        <f t="shared" ref="U695:W695" si="2794">IFERROR(U770-T770,"n/a")</f>
        <v>n/a</v>
      </c>
      <c r="V695" s="36" t="str">
        <f t="shared" si="2794"/>
        <v>n/a</v>
      </c>
      <c r="W695" s="36" t="str">
        <f t="shared" si="2794"/>
        <v>n/a</v>
      </c>
      <c r="X695" s="36" t="str">
        <f t="shared" si="2761"/>
        <v>n/a</v>
      </c>
      <c r="Y695" s="36" t="str">
        <f t="shared" ref="Y695:AA695" si="2795">IFERROR(Y770-X770,"n/a")</f>
        <v>n/a</v>
      </c>
      <c r="Z695" s="36" t="str">
        <f t="shared" si="2795"/>
        <v>n/a</v>
      </c>
      <c r="AA695" s="36" t="str">
        <f t="shared" si="2795"/>
        <v>n/a</v>
      </c>
      <c r="AB695" s="36" t="str">
        <f t="shared" si="2763"/>
        <v>n/a</v>
      </c>
      <c r="AC695" s="36" t="str">
        <f t="shared" si="2764"/>
        <v>n/a</v>
      </c>
      <c r="AD695" s="36" t="str">
        <f t="shared" si="2764"/>
        <v>n/a</v>
      </c>
      <c r="AE695" s="36" t="str">
        <f t="shared" si="2764"/>
        <v>n/a</v>
      </c>
      <c r="AF695" s="36" t="str">
        <f t="shared" si="2711"/>
        <v>n/a</v>
      </c>
      <c r="AG695" s="36" t="str">
        <f t="shared" si="2764"/>
        <v>n/a</v>
      </c>
      <c r="AH695" s="36" t="str">
        <f t="shared" si="2764"/>
        <v>n/a</v>
      </c>
      <c r="AO695" s="13">
        <v>0</v>
      </c>
      <c r="AP695" s="13">
        <v>0</v>
      </c>
      <c r="AQ695" s="13">
        <v>0</v>
      </c>
      <c r="AR695" s="13">
        <v>0</v>
      </c>
      <c r="AS695" s="13">
        <v>0</v>
      </c>
      <c r="AT695" s="13">
        <v>445.03699999999998</v>
      </c>
      <c r="AU695" s="13">
        <v>0</v>
      </c>
      <c r="AV695" s="36">
        <f t="shared" si="2765"/>
        <v>129.78899999999999</v>
      </c>
    </row>
    <row r="696" spans="2:48" s="1" customFormat="1" x14ac:dyDescent="0.2">
      <c r="B696" s="38" t="s">
        <v>174</v>
      </c>
      <c r="H696" s="48">
        <f t="shared" si="2753"/>
        <v>-801.55600000000004</v>
      </c>
      <c r="I696" s="48">
        <f t="shared" ref="I696:K696" si="2796">IFERROR(I771-H771,"n/a")</f>
        <v>-291.14999999999986</v>
      </c>
      <c r="J696" s="48">
        <f t="shared" si="2796"/>
        <v>-6217.1679999999997</v>
      </c>
      <c r="K696" s="49">
        <f t="shared" si="2796"/>
        <v>-238.63500000000022</v>
      </c>
      <c r="L696" s="48">
        <f t="shared" si="2755"/>
        <v>457.47300000000001</v>
      </c>
      <c r="M696" s="48">
        <f t="shared" ref="M696:O696" si="2797">IFERROR(M771-L771,"n/a")</f>
        <v>-1139.423</v>
      </c>
      <c r="N696" s="48">
        <f t="shared" si="2797"/>
        <v>-16175.856</v>
      </c>
      <c r="O696" s="49">
        <f t="shared" si="2797"/>
        <v>-11461.871999999999</v>
      </c>
      <c r="P696" s="48">
        <f t="shared" si="2757"/>
        <v>-1584.192</v>
      </c>
      <c r="Q696" s="48">
        <f t="shared" ref="Q696:S696" si="2798">IFERROR(Q771-P771,"n/a")</f>
        <v>-9695.8179999999993</v>
      </c>
      <c r="R696" s="48">
        <f t="shared" si="2798"/>
        <v>-455.05400000000009</v>
      </c>
      <c r="S696" s="49">
        <f t="shared" si="2798"/>
        <v>-26622.837000000007</v>
      </c>
      <c r="T696" s="48">
        <f t="shared" si="2759"/>
        <v>-5621.0469999999996</v>
      </c>
      <c r="U696" s="48">
        <f t="shared" ref="U696:W696" si="2799">IFERROR(U771-T771,"n/a")</f>
        <v>-3484.0559999999996</v>
      </c>
      <c r="V696" s="48">
        <f t="shared" si="2799"/>
        <v>-13764.757000000001</v>
      </c>
      <c r="W696" s="49">
        <f t="shared" si="2799"/>
        <v>-12692.505000000005</v>
      </c>
      <c r="X696" s="48">
        <f t="shared" si="2761"/>
        <v>-4852.0889999999999</v>
      </c>
      <c r="Y696" s="48">
        <f t="shared" ref="Y696:AA696" si="2800">IFERROR(Y771-X771,"n/a")</f>
        <v>-8593.2710000000006</v>
      </c>
      <c r="Z696" s="48">
        <f t="shared" si="2800"/>
        <v>-356.39400000000023</v>
      </c>
      <c r="AA696" s="49">
        <f t="shared" si="2800"/>
        <v>-8559.9160000000084</v>
      </c>
      <c r="AB696" s="48">
        <f t="shared" si="2763"/>
        <v>-22620.246999999999</v>
      </c>
      <c r="AC696" s="48">
        <f t="shared" si="2764"/>
        <v>-11519.860000000004</v>
      </c>
      <c r="AD696" s="48">
        <f t="shared" si="2764"/>
        <v>-4820.5</v>
      </c>
      <c r="AE696" s="48">
        <f t="shared" si="2764"/>
        <v>-16470.671000000009</v>
      </c>
      <c r="AF696" s="48">
        <f t="shared" si="2711"/>
        <v>-28290.120999999999</v>
      </c>
      <c r="AG696" s="48">
        <f t="shared" si="2764"/>
        <v>-14331.978999999999</v>
      </c>
      <c r="AH696" s="48">
        <f t="shared" si="2764"/>
        <v>-45188.678999999996</v>
      </c>
      <c r="AO696" s="48">
        <f>SUM(AO682:AO695)</f>
        <v>-307.30099999999999</v>
      </c>
      <c r="AP696" s="48">
        <f t="shared" ref="AP696" si="2801">SUM(AP682:AP695)</f>
        <v>71.65100000000001</v>
      </c>
      <c r="AQ696" s="48">
        <f t="shared" ref="AQ696" si="2802">SUM(AQ682:AQ695)</f>
        <v>-7548.509</v>
      </c>
      <c r="AR696" s="48">
        <f t="shared" ref="AR696" si="2803">SUM(AR682:AR695)</f>
        <v>-28319.678</v>
      </c>
      <c r="AS696" s="48">
        <f t="shared" ref="AS696" si="2804">SUM(AS682:AS695)</f>
        <v>-38357.901000000005</v>
      </c>
      <c r="AT696" s="48">
        <f t="shared" ref="AT696" si="2805">SUM(AT682:AT695)</f>
        <v>-35562.365000000005</v>
      </c>
      <c r="AU696" s="48">
        <f t="shared" ref="AU696" si="2806">SUM(AU682:AU695)</f>
        <v>-22361.670000000009</v>
      </c>
      <c r="AV696" s="48">
        <f t="shared" si="2765"/>
        <v>-55431.278000000013</v>
      </c>
    </row>
    <row r="697" spans="2:48" x14ac:dyDescent="0.2">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O697" s="11"/>
      <c r="AP697" s="11"/>
      <c r="AQ697" s="11"/>
      <c r="AR697" s="11"/>
      <c r="AS697" s="11"/>
      <c r="AT697" s="11"/>
      <c r="AU697" s="11"/>
      <c r="AV697" s="11"/>
    </row>
    <row r="698" spans="2:48" x14ac:dyDescent="0.2">
      <c r="B698" s="1" t="s">
        <v>175</v>
      </c>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O698" s="11"/>
      <c r="AP698" s="11"/>
      <c r="AQ698" s="11"/>
      <c r="AR698" s="11"/>
      <c r="AS698" s="11"/>
      <c r="AT698" s="11"/>
      <c r="AU698" s="11"/>
      <c r="AV698" s="11"/>
    </row>
    <row r="699" spans="2:48" x14ac:dyDescent="0.2">
      <c r="B699" t="s">
        <v>156</v>
      </c>
      <c r="H699" s="17" t="str">
        <f t="shared" ref="H699:H701" si="2807">H774</f>
        <v>n/a</v>
      </c>
      <c r="I699" s="17" t="str">
        <f t="shared" ref="I699:K699" si="2808">IFERROR(I774-H774,"n/a")</f>
        <v>n/a</v>
      </c>
      <c r="J699" s="17" t="str">
        <f t="shared" si="2808"/>
        <v>n/a</v>
      </c>
      <c r="K699" s="17" t="str">
        <f t="shared" si="2808"/>
        <v>n/a</v>
      </c>
      <c r="L699" s="17" t="str">
        <f t="shared" ref="L699:L701" si="2809">L774</f>
        <v>n/a</v>
      </c>
      <c r="M699" s="17" t="str">
        <f t="shared" ref="M699:O699" si="2810">IFERROR(M774-L774,"n/a")</f>
        <v>n/a</v>
      </c>
      <c r="N699" s="17" t="str">
        <f t="shared" si="2810"/>
        <v>n/a</v>
      </c>
      <c r="O699" s="17" t="str">
        <f t="shared" si="2810"/>
        <v>n/a</v>
      </c>
      <c r="P699" s="17" t="str">
        <f t="shared" ref="P699:P701" si="2811">P774</f>
        <v>n/a</v>
      </c>
      <c r="Q699" s="17" t="str">
        <f t="shared" ref="Q699:S699" si="2812">IFERROR(Q774-P774,"n/a")</f>
        <v>n/a</v>
      </c>
      <c r="R699" s="17" t="str">
        <f t="shared" si="2812"/>
        <v>n/a</v>
      </c>
      <c r="S699" s="17" t="str">
        <f t="shared" si="2812"/>
        <v>n/a</v>
      </c>
      <c r="T699" s="17" t="str">
        <f t="shared" ref="T699:T701" si="2813">T774</f>
        <v>n/a</v>
      </c>
      <c r="U699" s="17" t="str">
        <f t="shared" ref="U699:W699" si="2814">IFERROR(U774-T774,"n/a")</f>
        <v>n/a</v>
      </c>
      <c r="V699" s="17" t="str">
        <f t="shared" si="2814"/>
        <v>n/a</v>
      </c>
      <c r="W699" s="17" t="str">
        <f t="shared" si="2814"/>
        <v>n/a</v>
      </c>
      <c r="X699" s="17" t="str">
        <f t="shared" ref="X699:X701" si="2815">X774</f>
        <v>n/a</v>
      </c>
      <c r="Y699" s="17" t="str">
        <f t="shared" ref="Y699:AA699" si="2816">IFERROR(Y774-X774,"n/a")</f>
        <v>n/a</v>
      </c>
      <c r="Z699" s="17" t="str">
        <f t="shared" si="2816"/>
        <v>n/a</v>
      </c>
      <c r="AA699" s="17" t="str">
        <f t="shared" si="2816"/>
        <v>n/a</v>
      </c>
      <c r="AB699" s="17" t="str">
        <f t="shared" ref="AB699:AB701" si="2817">AB774</f>
        <v>n/a</v>
      </c>
      <c r="AC699" s="17" t="str">
        <f t="shared" ref="AC699:AH701" si="2818">IFERROR(AC774-AB774,"n/a")</f>
        <v>n/a</v>
      </c>
      <c r="AD699" s="17" t="str">
        <f t="shared" si="2818"/>
        <v>n/a</v>
      </c>
      <c r="AE699" s="17" t="str">
        <f t="shared" si="2818"/>
        <v>n/a</v>
      </c>
      <c r="AF699" s="17" t="str">
        <f t="shared" ref="AF699:AF715" si="2819">AF774</f>
        <v>n/a</v>
      </c>
      <c r="AG699" s="17" t="str">
        <f t="shared" si="2818"/>
        <v>n/a</v>
      </c>
      <c r="AH699" s="17" t="str">
        <f t="shared" si="2818"/>
        <v>n/a</v>
      </c>
      <c r="AO699" s="11">
        <v>-18.326000000000001</v>
      </c>
      <c r="AP699" s="11">
        <v>0</v>
      </c>
      <c r="AQ699" s="11">
        <v>0</v>
      </c>
      <c r="AR699" s="11">
        <v>0</v>
      </c>
      <c r="AS699" s="11">
        <v>0</v>
      </c>
      <c r="AT699" s="11">
        <v>0</v>
      </c>
      <c r="AU699" s="11">
        <v>0</v>
      </c>
      <c r="AV699" s="17">
        <f t="shared" ref="AV699:AV701" si="2820">AV774</f>
        <v>0</v>
      </c>
    </row>
    <row r="700" spans="2:48" x14ac:dyDescent="0.2">
      <c r="B700" t="s">
        <v>157</v>
      </c>
      <c r="H700" s="17" t="str">
        <f t="shared" si="2807"/>
        <v>n/a</v>
      </c>
      <c r="I700" s="17" t="str">
        <f t="shared" ref="I700:K700" si="2821">IFERROR(I775-H775,"n/a")</f>
        <v>n/a</v>
      </c>
      <c r="J700" s="17" t="str">
        <f t="shared" si="2821"/>
        <v>n/a</v>
      </c>
      <c r="K700" s="17" t="str">
        <f t="shared" si="2821"/>
        <v>n/a</v>
      </c>
      <c r="L700" s="17" t="str">
        <f t="shared" si="2809"/>
        <v>n/a</v>
      </c>
      <c r="M700" s="17" t="str">
        <f t="shared" ref="M700:O700" si="2822">IFERROR(M775-L775,"n/a")</f>
        <v>n/a</v>
      </c>
      <c r="N700" s="17" t="str">
        <f t="shared" si="2822"/>
        <v>n/a</v>
      </c>
      <c r="O700" s="17" t="str">
        <f t="shared" si="2822"/>
        <v>n/a</v>
      </c>
      <c r="P700" s="17" t="str">
        <f t="shared" si="2811"/>
        <v>n/a</v>
      </c>
      <c r="Q700" s="17" t="str">
        <f t="shared" ref="Q700:S700" si="2823">IFERROR(Q775-P775,"n/a")</f>
        <v>n/a</v>
      </c>
      <c r="R700" s="17" t="str">
        <f t="shared" si="2823"/>
        <v>n/a</v>
      </c>
      <c r="S700" s="17" t="str">
        <f t="shared" si="2823"/>
        <v>n/a</v>
      </c>
      <c r="T700" s="17" t="str">
        <f t="shared" si="2813"/>
        <v>n/a</v>
      </c>
      <c r="U700" s="17" t="str">
        <f t="shared" ref="U700:W700" si="2824">IFERROR(U775-T775,"n/a")</f>
        <v>n/a</v>
      </c>
      <c r="V700" s="17" t="str">
        <f t="shared" si="2824"/>
        <v>n/a</v>
      </c>
      <c r="W700" s="17" t="str">
        <f t="shared" si="2824"/>
        <v>n/a</v>
      </c>
      <c r="X700" s="17" t="str">
        <f t="shared" si="2815"/>
        <v>n/a</v>
      </c>
      <c r="Y700" s="17" t="str">
        <f t="shared" ref="Y700:AA700" si="2825">IFERROR(Y775-X775,"n/a")</f>
        <v>n/a</v>
      </c>
      <c r="Z700" s="17" t="str">
        <f t="shared" si="2825"/>
        <v>n/a</v>
      </c>
      <c r="AA700" s="17" t="str">
        <f t="shared" si="2825"/>
        <v>n/a</v>
      </c>
      <c r="AB700" s="17" t="str">
        <f t="shared" si="2817"/>
        <v>n/a</v>
      </c>
      <c r="AC700" s="17" t="str">
        <f t="shared" si="2818"/>
        <v>n/a</v>
      </c>
      <c r="AD700" s="17" t="str">
        <f t="shared" si="2818"/>
        <v>n/a</v>
      </c>
      <c r="AE700" s="17" t="str">
        <f t="shared" si="2818"/>
        <v>n/a</v>
      </c>
      <c r="AF700" s="17" t="str">
        <f t="shared" si="2819"/>
        <v>n/a</v>
      </c>
      <c r="AG700" s="17" t="str">
        <f t="shared" si="2818"/>
        <v>n/a</v>
      </c>
      <c r="AH700" s="17" t="str">
        <f t="shared" si="2818"/>
        <v>n/a</v>
      </c>
      <c r="AO700" s="11">
        <v>511.911</v>
      </c>
      <c r="AP700" s="11">
        <v>1446.9059999999999</v>
      </c>
      <c r="AQ700" s="11">
        <v>5824.5680000000002</v>
      </c>
      <c r="AR700" s="11">
        <v>0</v>
      </c>
      <c r="AS700" s="11">
        <v>0</v>
      </c>
      <c r="AT700" s="11">
        <v>0</v>
      </c>
      <c r="AU700" s="11">
        <v>0</v>
      </c>
      <c r="AV700" s="17">
        <f t="shared" si="2820"/>
        <v>0</v>
      </c>
    </row>
    <row r="701" spans="2:48" x14ac:dyDescent="0.2">
      <c r="B701" t="s">
        <v>448</v>
      </c>
      <c r="H701" s="17">
        <f t="shared" si="2807"/>
        <v>0</v>
      </c>
      <c r="I701" s="17">
        <f t="shared" ref="I701" si="2826">IFERROR(I776-H776,"n/a")</f>
        <v>0</v>
      </c>
      <c r="J701" s="17">
        <f t="shared" ref="J701" si="2827">IFERROR(J776-I776,"n/a")</f>
        <v>0</v>
      </c>
      <c r="K701" s="17">
        <f t="shared" ref="K701" si="2828">IFERROR(K776-J776,"n/a")</f>
        <v>0</v>
      </c>
      <c r="L701" s="17" t="str">
        <f t="shared" si="2809"/>
        <v>n/a</v>
      </c>
      <c r="M701" s="17" t="str">
        <f t="shared" ref="M701" si="2829">IFERROR(M776-L776,"n/a")</f>
        <v>n/a</v>
      </c>
      <c r="N701" s="17" t="str">
        <f t="shared" ref="N701" si="2830">IFERROR(N776-M776,"n/a")</f>
        <v>n/a</v>
      </c>
      <c r="O701" s="17" t="str">
        <f t="shared" ref="O701" si="2831">IFERROR(O776-N776,"n/a")</f>
        <v>n/a</v>
      </c>
      <c r="P701" s="17" t="str">
        <f t="shared" si="2811"/>
        <v>n/a</v>
      </c>
      <c r="Q701" s="17" t="str">
        <f t="shared" ref="Q701" si="2832">IFERROR(Q776-P776,"n/a")</f>
        <v>n/a</v>
      </c>
      <c r="R701" s="17" t="str">
        <f t="shared" ref="R701" si="2833">IFERROR(R776-Q776,"n/a")</f>
        <v>n/a</v>
      </c>
      <c r="S701" s="17" t="str">
        <f t="shared" ref="S701" si="2834">IFERROR(S776-R776,"n/a")</f>
        <v>n/a</v>
      </c>
      <c r="T701" s="17" t="str">
        <f t="shared" si="2813"/>
        <v>n/a</v>
      </c>
      <c r="U701" s="17" t="str">
        <f t="shared" ref="U701" si="2835">IFERROR(U776-T776,"n/a")</f>
        <v>n/a</v>
      </c>
      <c r="V701" s="17" t="str">
        <f t="shared" ref="V701" si="2836">IFERROR(V776-U776,"n/a")</f>
        <v>n/a</v>
      </c>
      <c r="W701" s="17" t="str">
        <f t="shared" ref="W701" si="2837">IFERROR(W776-V776,"n/a")</f>
        <v>n/a</v>
      </c>
      <c r="X701" s="17" t="str">
        <f t="shared" si="2815"/>
        <v>n/a</v>
      </c>
      <c r="Y701" s="17" t="str">
        <f t="shared" ref="Y701" si="2838">IFERROR(Y776-X776,"n/a")</f>
        <v>n/a</v>
      </c>
      <c r="Z701" s="17" t="str">
        <f t="shared" ref="Z701" si="2839">IFERROR(Z776-Y776,"n/a")</f>
        <v>n/a</v>
      </c>
      <c r="AA701" s="17" t="str">
        <f t="shared" ref="AA701" si="2840">IFERROR(AA776-Z776,"n/a")</f>
        <v>n/a</v>
      </c>
      <c r="AB701" s="17" t="str">
        <f t="shared" si="2817"/>
        <v>n/a</v>
      </c>
      <c r="AC701" s="17" t="str">
        <f t="shared" ref="AC701" si="2841">IFERROR(AC776-AB776,"n/a")</f>
        <v>n/a</v>
      </c>
      <c r="AD701" s="17" t="str">
        <f t="shared" ref="AD701" si="2842">IFERROR(AD776-AC776,"n/a")</f>
        <v>n/a</v>
      </c>
      <c r="AE701" s="17" t="str">
        <f t="shared" ref="AE701" si="2843">IFERROR(AE776-AD776,"n/a")</f>
        <v>n/a</v>
      </c>
      <c r="AF701" s="17" t="str">
        <f t="shared" si="2819"/>
        <v>n/a</v>
      </c>
      <c r="AG701" s="17" t="str">
        <f t="shared" si="2818"/>
        <v>n/a</v>
      </c>
      <c r="AH701" s="17" t="str">
        <f t="shared" si="2818"/>
        <v>n/a</v>
      </c>
      <c r="AO701" s="11">
        <v>0</v>
      </c>
      <c r="AP701" s="11">
        <v>0</v>
      </c>
      <c r="AQ701" s="11">
        <v>0</v>
      </c>
      <c r="AR701" s="11">
        <v>0</v>
      </c>
      <c r="AS701" s="11">
        <v>0</v>
      </c>
      <c r="AT701" s="11">
        <v>0</v>
      </c>
      <c r="AU701" s="11">
        <v>0</v>
      </c>
      <c r="AV701" s="17">
        <f t="shared" si="2820"/>
        <v>-8968.8169999999991</v>
      </c>
    </row>
    <row r="702" spans="2:48" x14ac:dyDescent="0.2">
      <c r="B702" t="s">
        <v>158</v>
      </c>
      <c r="H702" s="17" t="str">
        <f t="shared" ref="H702:H715" si="2844">H777</f>
        <v>n/a</v>
      </c>
      <c r="I702" s="17" t="str">
        <f t="shared" ref="I702:K702" si="2845">IFERROR(I777-H777,"n/a")</f>
        <v>n/a</v>
      </c>
      <c r="J702" s="17" t="str">
        <f t="shared" si="2845"/>
        <v>n/a</v>
      </c>
      <c r="K702" s="17" t="str">
        <f t="shared" si="2845"/>
        <v>n/a</v>
      </c>
      <c r="L702" s="17" t="str">
        <f t="shared" ref="L702:L715" si="2846">L777</f>
        <v>n/a</v>
      </c>
      <c r="M702" s="17" t="str">
        <f t="shared" ref="M702:O702" si="2847">IFERROR(M777-L777,"n/a")</f>
        <v>n/a</v>
      </c>
      <c r="N702" s="17" t="str">
        <f t="shared" si="2847"/>
        <v>n/a</v>
      </c>
      <c r="O702" s="17" t="str">
        <f t="shared" si="2847"/>
        <v>n/a</v>
      </c>
      <c r="P702" s="17" t="str">
        <f t="shared" ref="P702:P715" si="2848">P777</f>
        <v>n/a</v>
      </c>
      <c r="Q702" s="17" t="str">
        <f t="shared" ref="Q702:S702" si="2849">IFERROR(Q777-P777,"n/a")</f>
        <v>n/a</v>
      </c>
      <c r="R702" s="17" t="str">
        <f t="shared" si="2849"/>
        <v>n/a</v>
      </c>
      <c r="S702" s="17" t="str">
        <f t="shared" si="2849"/>
        <v>n/a</v>
      </c>
      <c r="T702" s="17" t="str">
        <f t="shared" ref="T702:T715" si="2850">T777</f>
        <v>n/a</v>
      </c>
      <c r="U702" s="17" t="str">
        <f t="shared" ref="U702:W702" si="2851">IFERROR(U777-T777,"n/a")</f>
        <v>n/a</v>
      </c>
      <c r="V702" s="17" t="str">
        <f t="shared" si="2851"/>
        <v>n/a</v>
      </c>
      <c r="W702" s="17" t="str">
        <f t="shared" si="2851"/>
        <v>n/a</v>
      </c>
      <c r="X702" s="17" t="str">
        <f t="shared" ref="X702:X715" si="2852">X777</f>
        <v>n/a</v>
      </c>
      <c r="Y702" s="17" t="str">
        <f t="shared" ref="Y702:AA702" si="2853">IFERROR(Y777-X777,"n/a")</f>
        <v>n/a</v>
      </c>
      <c r="Z702" s="17" t="str">
        <f t="shared" si="2853"/>
        <v>n/a</v>
      </c>
      <c r="AA702" s="17" t="str">
        <f t="shared" si="2853"/>
        <v>n/a</v>
      </c>
      <c r="AB702" s="17" t="str">
        <f t="shared" ref="AB702:AB715" si="2854">AB777</f>
        <v>n/a</v>
      </c>
      <c r="AC702" s="17" t="str">
        <f t="shared" ref="AC702:AH715" si="2855">IFERROR(AC777-AB777,"n/a")</f>
        <v>n/a</v>
      </c>
      <c r="AD702" s="17" t="str">
        <f t="shared" si="2855"/>
        <v>n/a</v>
      </c>
      <c r="AE702" s="17" t="str">
        <f t="shared" si="2855"/>
        <v>n/a</v>
      </c>
      <c r="AF702" s="17" t="str">
        <f t="shared" si="2819"/>
        <v>n/a</v>
      </c>
      <c r="AG702" s="17" t="str">
        <f t="shared" si="2855"/>
        <v>n/a</v>
      </c>
      <c r="AH702" s="17" t="str">
        <f t="shared" si="2855"/>
        <v>n/a</v>
      </c>
      <c r="AO702" s="11">
        <v>-7.0469999999999997</v>
      </c>
      <c r="AP702" s="11">
        <v>-15.369</v>
      </c>
      <c r="AQ702" s="11">
        <v>-3.8420000000000001</v>
      </c>
      <c r="AR702" s="11">
        <v>0</v>
      </c>
      <c r="AS702" s="11">
        <v>0</v>
      </c>
      <c r="AT702" s="11">
        <v>0</v>
      </c>
      <c r="AU702" s="11">
        <v>0</v>
      </c>
      <c r="AV702" s="17">
        <f t="shared" ref="AV702:AV715" si="2856">AV777</f>
        <v>0</v>
      </c>
    </row>
    <row r="703" spans="2:48" x14ac:dyDescent="0.2">
      <c r="B703" t="s">
        <v>159</v>
      </c>
      <c r="H703" s="17" t="str">
        <f t="shared" si="2844"/>
        <v>n/a</v>
      </c>
      <c r="I703" s="17" t="str">
        <f t="shared" ref="I703:K703" si="2857">IFERROR(I778-H778,"n/a")</f>
        <v>n/a</v>
      </c>
      <c r="J703" s="17" t="str">
        <f t="shared" si="2857"/>
        <v>n/a</v>
      </c>
      <c r="K703" s="17" t="str">
        <f t="shared" si="2857"/>
        <v>n/a</v>
      </c>
      <c r="L703" s="17" t="str">
        <f t="shared" si="2846"/>
        <v>n/a</v>
      </c>
      <c r="M703" s="17" t="str">
        <f t="shared" ref="M703:O703" si="2858">IFERROR(M778-L778,"n/a")</f>
        <v>n/a</v>
      </c>
      <c r="N703" s="17" t="str">
        <f t="shared" si="2858"/>
        <v>n/a</v>
      </c>
      <c r="O703" s="17" t="str">
        <f t="shared" si="2858"/>
        <v>n/a</v>
      </c>
      <c r="P703" s="17" t="str">
        <f t="shared" si="2848"/>
        <v>n/a</v>
      </c>
      <c r="Q703" s="17" t="str">
        <f t="shared" ref="Q703:S703" si="2859">IFERROR(Q778-P778,"n/a")</f>
        <v>n/a</v>
      </c>
      <c r="R703" s="17" t="str">
        <f t="shared" si="2859"/>
        <v>n/a</v>
      </c>
      <c r="S703" s="17" t="str">
        <f t="shared" si="2859"/>
        <v>n/a</v>
      </c>
      <c r="T703" s="17" t="str">
        <f t="shared" si="2850"/>
        <v>n/a</v>
      </c>
      <c r="U703" s="17" t="str">
        <f t="shared" ref="U703:W703" si="2860">IFERROR(U778-T778,"n/a")</f>
        <v>n/a</v>
      </c>
      <c r="V703" s="17" t="str">
        <f t="shared" si="2860"/>
        <v>n/a</v>
      </c>
      <c r="W703" s="17" t="str">
        <f t="shared" si="2860"/>
        <v>n/a</v>
      </c>
      <c r="X703" s="17" t="str">
        <f t="shared" si="2852"/>
        <v>n/a</v>
      </c>
      <c r="Y703" s="17" t="str">
        <f t="shared" ref="Y703:AA703" si="2861">IFERROR(Y778-X778,"n/a")</f>
        <v>n/a</v>
      </c>
      <c r="Z703" s="17" t="str">
        <f t="shared" si="2861"/>
        <v>n/a</v>
      </c>
      <c r="AA703" s="17" t="str">
        <f t="shared" si="2861"/>
        <v>n/a</v>
      </c>
      <c r="AB703" s="17" t="str">
        <f t="shared" si="2854"/>
        <v>n/a</v>
      </c>
      <c r="AC703" s="17" t="str">
        <f t="shared" si="2855"/>
        <v>n/a</v>
      </c>
      <c r="AD703" s="17" t="str">
        <f t="shared" si="2855"/>
        <v>n/a</v>
      </c>
      <c r="AE703" s="17" t="str">
        <f t="shared" si="2855"/>
        <v>n/a</v>
      </c>
      <c r="AF703" s="17" t="str">
        <f t="shared" si="2819"/>
        <v>n/a</v>
      </c>
      <c r="AG703" s="17" t="str">
        <f t="shared" si="2855"/>
        <v>n/a</v>
      </c>
      <c r="AH703" s="17" t="str">
        <f t="shared" si="2855"/>
        <v>n/a</v>
      </c>
      <c r="AO703" s="11">
        <v>0</v>
      </c>
      <c r="AP703" s="11">
        <v>0</v>
      </c>
      <c r="AQ703" s="11">
        <v>-356.31299999999999</v>
      </c>
      <c r="AR703" s="11">
        <v>0</v>
      </c>
      <c r="AS703" s="11">
        <v>0</v>
      </c>
      <c r="AT703" s="11">
        <v>0</v>
      </c>
      <c r="AU703" s="11">
        <v>0</v>
      </c>
      <c r="AV703" s="17">
        <f t="shared" si="2856"/>
        <v>0</v>
      </c>
    </row>
    <row r="704" spans="2:48" x14ac:dyDescent="0.2">
      <c r="B704" t="s">
        <v>160</v>
      </c>
      <c r="H704" s="17" t="str">
        <f t="shared" si="2844"/>
        <v>n/a</v>
      </c>
      <c r="I704" s="17" t="str">
        <f t="shared" ref="I704:K704" si="2862">IFERROR(I779-H779,"n/a")</f>
        <v>n/a</v>
      </c>
      <c r="J704" s="17" t="str">
        <f t="shared" si="2862"/>
        <v>n/a</v>
      </c>
      <c r="K704" s="17" t="str">
        <f t="shared" si="2862"/>
        <v>n/a</v>
      </c>
      <c r="L704" s="17" t="str">
        <f t="shared" si="2846"/>
        <v>n/a</v>
      </c>
      <c r="M704" s="17" t="str">
        <f t="shared" ref="M704:O704" si="2863">IFERROR(M779-L779,"n/a")</f>
        <v>n/a</v>
      </c>
      <c r="N704" s="17" t="str">
        <f t="shared" si="2863"/>
        <v>n/a</v>
      </c>
      <c r="O704" s="17" t="str">
        <f t="shared" si="2863"/>
        <v>n/a</v>
      </c>
      <c r="P704" s="17" t="str">
        <f t="shared" si="2848"/>
        <v>n/a</v>
      </c>
      <c r="Q704" s="17" t="str">
        <f t="shared" ref="Q704:S704" si="2864">IFERROR(Q779-P779,"n/a")</f>
        <v>n/a</v>
      </c>
      <c r="R704" s="17" t="str">
        <f t="shared" si="2864"/>
        <v>n/a</v>
      </c>
      <c r="S704" s="17" t="str">
        <f t="shared" si="2864"/>
        <v>n/a</v>
      </c>
      <c r="T704" s="17" t="str">
        <f t="shared" si="2850"/>
        <v>n/a</v>
      </c>
      <c r="U704" s="17" t="str">
        <f t="shared" ref="U704:W704" si="2865">IFERROR(U779-T779,"n/a")</f>
        <v>n/a</v>
      </c>
      <c r="V704" s="17" t="str">
        <f t="shared" si="2865"/>
        <v>n/a</v>
      </c>
      <c r="W704" s="17" t="str">
        <f t="shared" si="2865"/>
        <v>n/a</v>
      </c>
      <c r="X704" s="17" t="str">
        <f t="shared" si="2852"/>
        <v>n/a</v>
      </c>
      <c r="Y704" s="17" t="str">
        <f t="shared" ref="Y704:AA704" si="2866">IFERROR(Y779-X779,"n/a")</f>
        <v>n/a</v>
      </c>
      <c r="Z704" s="17" t="str">
        <f t="shared" si="2866"/>
        <v>n/a</v>
      </c>
      <c r="AA704" s="17" t="str">
        <f t="shared" si="2866"/>
        <v>n/a</v>
      </c>
      <c r="AB704" s="17" t="str">
        <f t="shared" si="2854"/>
        <v>n/a</v>
      </c>
      <c r="AC704" s="17" t="str">
        <f t="shared" si="2855"/>
        <v>n/a</v>
      </c>
      <c r="AD704" s="17" t="str">
        <f t="shared" si="2855"/>
        <v>n/a</v>
      </c>
      <c r="AE704" s="17" t="str">
        <f t="shared" si="2855"/>
        <v>n/a</v>
      </c>
      <c r="AF704" s="17" t="str">
        <f t="shared" si="2819"/>
        <v>n/a</v>
      </c>
      <c r="AG704" s="17" t="str">
        <f t="shared" si="2855"/>
        <v>n/a</v>
      </c>
      <c r="AH704" s="17" t="str">
        <f t="shared" si="2855"/>
        <v>n/a</v>
      </c>
      <c r="AO704" s="11">
        <v>0</v>
      </c>
      <c r="AP704" s="11">
        <v>0</v>
      </c>
      <c r="AQ704" s="11">
        <v>0</v>
      </c>
      <c r="AR704" s="11">
        <v>8194.5969999999998</v>
      </c>
      <c r="AS704" s="11">
        <v>26805.437999999998</v>
      </c>
      <c r="AT704" s="11">
        <v>0</v>
      </c>
      <c r="AU704" s="11">
        <v>0</v>
      </c>
      <c r="AV704" s="17">
        <f t="shared" si="2856"/>
        <v>0</v>
      </c>
    </row>
    <row r="705" spans="2:48" x14ac:dyDescent="0.2">
      <c r="B705" t="s">
        <v>161</v>
      </c>
      <c r="H705" s="17" t="str">
        <f t="shared" si="2844"/>
        <v>n/a</v>
      </c>
      <c r="I705" s="17" t="str">
        <f t="shared" ref="I705:K705" si="2867">IFERROR(I780-H780,"n/a")</f>
        <v>n/a</v>
      </c>
      <c r="J705" s="17" t="str">
        <f t="shared" si="2867"/>
        <v>n/a</v>
      </c>
      <c r="K705" s="17" t="str">
        <f t="shared" si="2867"/>
        <v>n/a</v>
      </c>
      <c r="L705" s="17" t="str">
        <f t="shared" si="2846"/>
        <v>n/a</v>
      </c>
      <c r="M705" s="17" t="str">
        <f t="shared" ref="M705:O705" si="2868">IFERROR(M780-L780,"n/a")</f>
        <v>n/a</v>
      </c>
      <c r="N705" s="17" t="str">
        <f t="shared" si="2868"/>
        <v>n/a</v>
      </c>
      <c r="O705" s="17" t="str">
        <f t="shared" si="2868"/>
        <v>n/a</v>
      </c>
      <c r="P705" s="17" t="str">
        <f t="shared" si="2848"/>
        <v>n/a</v>
      </c>
      <c r="Q705" s="17" t="str">
        <f t="shared" ref="Q705:S705" si="2869">IFERROR(Q780-P780,"n/a")</f>
        <v>n/a</v>
      </c>
      <c r="R705" s="17" t="str">
        <f t="shared" si="2869"/>
        <v>n/a</v>
      </c>
      <c r="S705" s="17" t="str">
        <f t="shared" si="2869"/>
        <v>n/a</v>
      </c>
      <c r="T705" s="17" t="str">
        <f t="shared" si="2850"/>
        <v>n/a</v>
      </c>
      <c r="U705" s="17" t="str">
        <f t="shared" ref="U705:W705" si="2870">IFERROR(U780-T780,"n/a")</f>
        <v>n/a</v>
      </c>
      <c r="V705" s="17" t="str">
        <f t="shared" si="2870"/>
        <v>n/a</v>
      </c>
      <c r="W705" s="17" t="str">
        <f t="shared" si="2870"/>
        <v>n/a</v>
      </c>
      <c r="X705" s="17" t="str">
        <f t="shared" si="2852"/>
        <v>n/a</v>
      </c>
      <c r="Y705" s="17" t="str">
        <f t="shared" ref="Y705:AA705" si="2871">IFERROR(Y780-X780,"n/a")</f>
        <v>n/a</v>
      </c>
      <c r="Z705" s="17" t="str">
        <f t="shared" si="2871"/>
        <v>n/a</v>
      </c>
      <c r="AA705" s="17" t="str">
        <f t="shared" si="2871"/>
        <v>n/a</v>
      </c>
      <c r="AB705" s="17" t="str">
        <f t="shared" si="2854"/>
        <v>n/a</v>
      </c>
      <c r="AC705" s="17" t="str">
        <f t="shared" si="2855"/>
        <v>n/a</v>
      </c>
      <c r="AD705" s="17" t="str">
        <f t="shared" si="2855"/>
        <v>n/a</v>
      </c>
      <c r="AE705" s="17" t="str">
        <f t="shared" si="2855"/>
        <v>n/a</v>
      </c>
      <c r="AF705" s="17" t="str">
        <f t="shared" si="2819"/>
        <v>n/a</v>
      </c>
      <c r="AG705" s="17" t="str">
        <f t="shared" si="2855"/>
        <v>n/a</v>
      </c>
      <c r="AH705" s="17" t="str">
        <f t="shared" si="2855"/>
        <v>n/a</v>
      </c>
      <c r="AO705" s="11">
        <v>0</v>
      </c>
      <c r="AP705" s="11">
        <v>0</v>
      </c>
      <c r="AQ705" s="11">
        <v>0</v>
      </c>
      <c r="AR705" s="11"/>
      <c r="AS705" s="11">
        <v>11063.339</v>
      </c>
      <c r="AT705" s="11">
        <v>0</v>
      </c>
      <c r="AU705" s="11">
        <v>0</v>
      </c>
      <c r="AV705" s="17">
        <f t="shared" si="2856"/>
        <v>0</v>
      </c>
    </row>
    <row r="706" spans="2:48" x14ac:dyDescent="0.2">
      <c r="B706" t="s">
        <v>162</v>
      </c>
      <c r="H706" s="17" t="str">
        <f t="shared" si="2844"/>
        <v>n/a</v>
      </c>
      <c r="I706" s="17" t="str">
        <f t="shared" ref="I706:K706" si="2872">IFERROR(I781-H781,"n/a")</f>
        <v>n/a</v>
      </c>
      <c r="J706" s="17" t="str">
        <f t="shared" si="2872"/>
        <v>n/a</v>
      </c>
      <c r="K706" s="17" t="str">
        <f t="shared" si="2872"/>
        <v>n/a</v>
      </c>
      <c r="L706" s="17" t="str">
        <f t="shared" si="2846"/>
        <v>n/a</v>
      </c>
      <c r="M706" s="17" t="str">
        <f t="shared" ref="M706:O706" si="2873">IFERROR(M781-L781,"n/a")</f>
        <v>n/a</v>
      </c>
      <c r="N706" s="17" t="str">
        <f t="shared" si="2873"/>
        <v>n/a</v>
      </c>
      <c r="O706" s="17" t="str">
        <f t="shared" si="2873"/>
        <v>n/a</v>
      </c>
      <c r="P706" s="17" t="str">
        <f t="shared" si="2848"/>
        <v>n/a</v>
      </c>
      <c r="Q706" s="17" t="str">
        <f t="shared" ref="Q706:S706" si="2874">IFERROR(Q781-P781,"n/a")</f>
        <v>n/a</v>
      </c>
      <c r="R706" s="17" t="str">
        <f t="shared" si="2874"/>
        <v>n/a</v>
      </c>
      <c r="S706" s="17" t="str">
        <f t="shared" si="2874"/>
        <v>n/a</v>
      </c>
      <c r="T706" s="17" t="str">
        <f t="shared" si="2850"/>
        <v>n/a</v>
      </c>
      <c r="U706" s="17" t="str">
        <f t="shared" ref="U706:W706" si="2875">IFERROR(U781-T781,"n/a")</f>
        <v>n/a</v>
      </c>
      <c r="V706" s="17" t="str">
        <f t="shared" si="2875"/>
        <v>n/a</v>
      </c>
      <c r="W706" s="17" t="str">
        <f t="shared" si="2875"/>
        <v>n/a</v>
      </c>
      <c r="X706" s="17" t="str">
        <f t="shared" si="2852"/>
        <v>n/a</v>
      </c>
      <c r="Y706" s="17" t="str">
        <f t="shared" ref="Y706:AA706" si="2876">IFERROR(Y781-X781,"n/a")</f>
        <v>n/a</v>
      </c>
      <c r="Z706" s="17" t="str">
        <f t="shared" si="2876"/>
        <v>n/a</v>
      </c>
      <c r="AA706" s="17" t="str">
        <f t="shared" si="2876"/>
        <v>n/a</v>
      </c>
      <c r="AB706" s="17" t="str">
        <f t="shared" si="2854"/>
        <v>n/a</v>
      </c>
      <c r="AC706" s="17" t="str">
        <f t="shared" si="2855"/>
        <v>n/a</v>
      </c>
      <c r="AD706" s="17" t="str">
        <f t="shared" si="2855"/>
        <v>n/a</v>
      </c>
      <c r="AE706" s="17" t="str">
        <f t="shared" si="2855"/>
        <v>n/a</v>
      </c>
      <c r="AF706" s="17" t="str">
        <f t="shared" si="2819"/>
        <v>n/a</v>
      </c>
      <c r="AG706" s="17" t="str">
        <f t="shared" si="2855"/>
        <v>n/a</v>
      </c>
      <c r="AH706" s="17" t="str">
        <f t="shared" si="2855"/>
        <v>n/a</v>
      </c>
      <c r="AO706" s="11">
        <v>0</v>
      </c>
      <c r="AP706" s="11">
        <v>0</v>
      </c>
      <c r="AQ706" s="11">
        <v>0</v>
      </c>
      <c r="AR706" s="11">
        <v>-200.76900000000001</v>
      </c>
      <c r="AS706" s="11">
        <v>0</v>
      </c>
      <c r="AT706" s="11">
        <v>0</v>
      </c>
      <c r="AU706" s="11">
        <v>0</v>
      </c>
      <c r="AV706" s="17">
        <f t="shared" si="2856"/>
        <v>0</v>
      </c>
    </row>
    <row r="707" spans="2:48" x14ac:dyDescent="0.2">
      <c r="B707" t="s">
        <v>163</v>
      </c>
      <c r="H707" s="17" t="str">
        <f t="shared" si="2844"/>
        <v>n/a</v>
      </c>
      <c r="I707" s="17" t="str">
        <f t="shared" ref="I707:K707" si="2877">IFERROR(I782-H782,"n/a")</f>
        <v>n/a</v>
      </c>
      <c r="J707" s="17" t="str">
        <f t="shared" si="2877"/>
        <v>n/a</v>
      </c>
      <c r="K707" s="17" t="str">
        <f t="shared" si="2877"/>
        <v>n/a</v>
      </c>
      <c r="L707" s="17" t="str">
        <f t="shared" si="2846"/>
        <v>n/a</v>
      </c>
      <c r="M707" s="17" t="str">
        <f t="shared" ref="M707:O707" si="2878">IFERROR(M782-L782,"n/a")</f>
        <v>n/a</v>
      </c>
      <c r="N707" s="17" t="str">
        <f t="shared" si="2878"/>
        <v>n/a</v>
      </c>
      <c r="O707" s="17" t="str">
        <f t="shared" si="2878"/>
        <v>n/a</v>
      </c>
      <c r="P707" s="17" t="str">
        <f t="shared" si="2848"/>
        <v>n/a</v>
      </c>
      <c r="Q707" s="17" t="str">
        <f t="shared" ref="Q707:S707" si="2879">IFERROR(Q782-P782,"n/a")</f>
        <v>n/a</v>
      </c>
      <c r="R707" s="17" t="str">
        <f t="shared" si="2879"/>
        <v>n/a</v>
      </c>
      <c r="S707" s="17" t="str">
        <f t="shared" si="2879"/>
        <v>n/a</v>
      </c>
      <c r="T707" s="17" t="str">
        <f t="shared" si="2850"/>
        <v>n/a</v>
      </c>
      <c r="U707" s="17" t="str">
        <f t="shared" ref="U707:W707" si="2880">IFERROR(U782-T782,"n/a")</f>
        <v>n/a</v>
      </c>
      <c r="V707" s="17" t="str">
        <f t="shared" si="2880"/>
        <v>n/a</v>
      </c>
      <c r="W707" s="17" t="str">
        <f t="shared" si="2880"/>
        <v>n/a</v>
      </c>
      <c r="X707" s="17" t="str">
        <f t="shared" si="2852"/>
        <v>n/a</v>
      </c>
      <c r="Y707" s="17" t="str">
        <f t="shared" ref="Y707:AA707" si="2881">IFERROR(Y782-X782,"n/a")</f>
        <v>n/a</v>
      </c>
      <c r="Z707" s="17" t="str">
        <f t="shared" si="2881"/>
        <v>n/a</v>
      </c>
      <c r="AA707" s="17" t="str">
        <f t="shared" si="2881"/>
        <v>n/a</v>
      </c>
      <c r="AB707" s="17" t="str">
        <f t="shared" si="2854"/>
        <v>n/a</v>
      </c>
      <c r="AC707" s="17" t="str">
        <f t="shared" si="2855"/>
        <v>n/a</v>
      </c>
      <c r="AD707" s="17" t="str">
        <f t="shared" si="2855"/>
        <v>n/a</v>
      </c>
      <c r="AE707" s="17" t="str">
        <f t="shared" si="2855"/>
        <v>n/a</v>
      </c>
      <c r="AF707" s="17" t="str">
        <f t="shared" si="2819"/>
        <v>n/a</v>
      </c>
      <c r="AG707" s="17" t="str">
        <f t="shared" si="2855"/>
        <v>n/a</v>
      </c>
      <c r="AH707" s="17" t="str">
        <f t="shared" si="2855"/>
        <v>n/a</v>
      </c>
      <c r="AO707" s="11">
        <v>0</v>
      </c>
      <c r="AP707" s="11">
        <v>0</v>
      </c>
      <c r="AQ707" s="11">
        <v>0</v>
      </c>
      <c r="AR707" s="11">
        <v>7073.1009999999997</v>
      </c>
      <c r="AS707" s="11">
        <v>13024.199000000001</v>
      </c>
      <c r="AT707" s="11">
        <v>0</v>
      </c>
      <c r="AU707" s="11">
        <v>0</v>
      </c>
      <c r="AV707" s="17">
        <f t="shared" si="2856"/>
        <v>0</v>
      </c>
    </row>
    <row r="708" spans="2:48" x14ac:dyDescent="0.2">
      <c r="B708" t="s">
        <v>164</v>
      </c>
      <c r="H708" s="17" t="str">
        <f t="shared" si="2844"/>
        <v>n/a</v>
      </c>
      <c r="I708" s="17" t="str">
        <f t="shared" ref="I708:K708" si="2882">IFERROR(I783-H783,"n/a")</f>
        <v>n/a</v>
      </c>
      <c r="J708" s="17" t="str">
        <f t="shared" si="2882"/>
        <v>n/a</v>
      </c>
      <c r="K708" s="17" t="str">
        <f t="shared" si="2882"/>
        <v>n/a</v>
      </c>
      <c r="L708" s="17" t="str">
        <f t="shared" si="2846"/>
        <v>n/a</v>
      </c>
      <c r="M708" s="17" t="str">
        <f t="shared" ref="M708:O708" si="2883">IFERROR(M783-L783,"n/a")</f>
        <v>n/a</v>
      </c>
      <c r="N708" s="17" t="str">
        <f t="shared" si="2883"/>
        <v>n/a</v>
      </c>
      <c r="O708" s="17" t="str">
        <f t="shared" si="2883"/>
        <v>n/a</v>
      </c>
      <c r="P708" s="17" t="str">
        <f t="shared" si="2848"/>
        <v>n/a</v>
      </c>
      <c r="Q708" s="17" t="str">
        <f t="shared" ref="Q708:S708" si="2884">IFERROR(Q783-P783,"n/a")</f>
        <v>n/a</v>
      </c>
      <c r="R708" s="17" t="str">
        <f t="shared" si="2884"/>
        <v>n/a</v>
      </c>
      <c r="S708" s="17" t="str">
        <f t="shared" si="2884"/>
        <v>n/a</v>
      </c>
      <c r="T708" s="17" t="str">
        <f t="shared" si="2850"/>
        <v>n/a</v>
      </c>
      <c r="U708" s="17" t="str">
        <f t="shared" ref="U708:W708" si="2885">IFERROR(U783-T783,"n/a")</f>
        <v>n/a</v>
      </c>
      <c r="V708" s="17" t="str">
        <f t="shared" si="2885"/>
        <v>n/a</v>
      </c>
      <c r="W708" s="17" t="str">
        <f t="shared" si="2885"/>
        <v>n/a</v>
      </c>
      <c r="X708" s="17" t="str">
        <f t="shared" si="2852"/>
        <v>n/a</v>
      </c>
      <c r="Y708" s="17" t="str">
        <f t="shared" ref="Y708:AA708" si="2886">IFERROR(Y783-X783,"n/a")</f>
        <v>n/a</v>
      </c>
      <c r="Z708" s="17" t="str">
        <f t="shared" si="2886"/>
        <v>n/a</v>
      </c>
      <c r="AA708" s="17" t="str">
        <f t="shared" si="2886"/>
        <v>n/a</v>
      </c>
      <c r="AB708" s="17" t="str">
        <f t="shared" si="2854"/>
        <v>n/a</v>
      </c>
      <c r="AC708" s="17" t="str">
        <f t="shared" si="2855"/>
        <v>n/a</v>
      </c>
      <c r="AD708" s="17" t="str">
        <f t="shared" si="2855"/>
        <v>n/a</v>
      </c>
      <c r="AE708" s="17" t="str">
        <f t="shared" si="2855"/>
        <v>n/a</v>
      </c>
      <c r="AF708" s="17" t="str">
        <f t="shared" si="2819"/>
        <v>n/a</v>
      </c>
      <c r="AG708" s="17" t="str">
        <f t="shared" si="2855"/>
        <v>n/a</v>
      </c>
      <c r="AH708" s="17" t="str">
        <f t="shared" si="2855"/>
        <v>n/a</v>
      </c>
      <c r="AO708" s="11">
        <v>0</v>
      </c>
      <c r="AP708" s="11">
        <v>0</v>
      </c>
      <c r="AQ708" s="11">
        <v>0</v>
      </c>
      <c r="AR708" s="11">
        <v>-109.22</v>
      </c>
      <c r="AS708" s="11">
        <v>0</v>
      </c>
      <c r="AT708" s="11">
        <v>0</v>
      </c>
      <c r="AU708" s="11">
        <v>0</v>
      </c>
      <c r="AV708" s="17">
        <f t="shared" si="2856"/>
        <v>0</v>
      </c>
    </row>
    <row r="709" spans="2:48" x14ac:dyDescent="0.2">
      <c r="B709" t="s">
        <v>165</v>
      </c>
      <c r="H709" s="17" t="str">
        <f t="shared" si="2844"/>
        <v>n/a</v>
      </c>
      <c r="I709" s="17" t="str">
        <f t="shared" ref="I709:K709" si="2887">IFERROR(I784-H784,"n/a")</f>
        <v>n/a</v>
      </c>
      <c r="J709" s="17" t="str">
        <f t="shared" si="2887"/>
        <v>n/a</v>
      </c>
      <c r="K709" s="17" t="str">
        <f t="shared" si="2887"/>
        <v>n/a</v>
      </c>
      <c r="L709" s="17" t="str">
        <f t="shared" si="2846"/>
        <v>n/a</v>
      </c>
      <c r="M709" s="17" t="str">
        <f t="shared" ref="M709:O709" si="2888">IFERROR(M784-L784,"n/a")</f>
        <v>n/a</v>
      </c>
      <c r="N709" s="17" t="str">
        <f t="shared" si="2888"/>
        <v>n/a</v>
      </c>
      <c r="O709" s="17" t="str">
        <f t="shared" si="2888"/>
        <v>n/a</v>
      </c>
      <c r="P709" s="17" t="str">
        <f t="shared" si="2848"/>
        <v>n/a</v>
      </c>
      <c r="Q709" s="17" t="str">
        <f t="shared" ref="Q709:S709" si="2889">IFERROR(Q784-P784,"n/a")</f>
        <v>n/a</v>
      </c>
      <c r="R709" s="17" t="str">
        <f t="shared" si="2889"/>
        <v>n/a</v>
      </c>
      <c r="S709" s="17" t="str">
        <f t="shared" si="2889"/>
        <v>n/a</v>
      </c>
      <c r="T709" s="17" t="str">
        <f t="shared" si="2850"/>
        <v>n/a</v>
      </c>
      <c r="U709" s="17" t="str">
        <f t="shared" ref="U709:W709" si="2890">IFERROR(U784-T784,"n/a")</f>
        <v>n/a</v>
      </c>
      <c r="V709" s="17" t="str">
        <f t="shared" si="2890"/>
        <v>n/a</v>
      </c>
      <c r="W709" s="17" t="str">
        <f t="shared" si="2890"/>
        <v>n/a</v>
      </c>
      <c r="X709" s="17" t="str">
        <f t="shared" si="2852"/>
        <v>n/a</v>
      </c>
      <c r="Y709" s="17" t="str">
        <f t="shared" ref="Y709:AA709" si="2891">IFERROR(Y784-X784,"n/a")</f>
        <v>n/a</v>
      </c>
      <c r="Z709" s="17" t="str">
        <f t="shared" si="2891"/>
        <v>n/a</v>
      </c>
      <c r="AA709" s="17" t="str">
        <f t="shared" si="2891"/>
        <v>n/a</v>
      </c>
      <c r="AB709" s="17" t="str">
        <f t="shared" si="2854"/>
        <v>n/a</v>
      </c>
      <c r="AC709" s="17" t="str">
        <f t="shared" si="2855"/>
        <v>n/a</v>
      </c>
      <c r="AD709" s="17" t="str">
        <f t="shared" si="2855"/>
        <v>n/a</v>
      </c>
      <c r="AE709" s="17" t="str">
        <f t="shared" si="2855"/>
        <v>n/a</v>
      </c>
      <c r="AF709" s="17" t="str">
        <f t="shared" si="2819"/>
        <v>n/a</v>
      </c>
      <c r="AG709" s="17" t="str">
        <f t="shared" si="2855"/>
        <v>n/a</v>
      </c>
      <c r="AH709" s="17" t="str">
        <f t="shared" si="2855"/>
        <v>n/a</v>
      </c>
      <c r="AO709" s="11">
        <v>0</v>
      </c>
      <c r="AP709" s="11">
        <v>0</v>
      </c>
      <c r="AQ709" s="11">
        <v>0</v>
      </c>
      <c r="AR709" s="11">
        <v>897.02200000000005</v>
      </c>
      <c r="AS709" s="11">
        <v>1828.923</v>
      </c>
      <c r="AT709" s="11">
        <v>0</v>
      </c>
      <c r="AU709" s="11">
        <v>0</v>
      </c>
      <c r="AV709" s="17">
        <f t="shared" si="2856"/>
        <v>0</v>
      </c>
    </row>
    <row r="710" spans="2:48" x14ac:dyDescent="0.2">
      <c r="B710" t="s">
        <v>166</v>
      </c>
      <c r="H710" s="17" t="str">
        <f t="shared" si="2844"/>
        <v>n/a</v>
      </c>
      <c r="I710" s="17" t="str">
        <f t="shared" ref="I710:K710" si="2892">IFERROR(I785-H785,"n/a")</f>
        <v>n/a</v>
      </c>
      <c r="J710" s="17" t="str">
        <f t="shared" si="2892"/>
        <v>n/a</v>
      </c>
      <c r="K710" s="17" t="str">
        <f t="shared" si="2892"/>
        <v>n/a</v>
      </c>
      <c r="L710" s="17" t="str">
        <f t="shared" si="2846"/>
        <v>n/a</v>
      </c>
      <c r="M710" s="17" t="str">
        <f t="shared" ref="M710:O710" si="2893">IFERROR(M785-L785,"n/a")</f>
        <v>n/a</v>
      </c>
      <c r="N710" s="17" t="str">
        <f t="shared" si="2893"/>
        <v>n/a</v>
      </c>
      <c r="O710" s="17" t="str">
        <f t="shared" si="2893"/>
        <v>n/a</v>
      </c>
      <c r="P710" s="17" t="str">
        <f t="shared" si="2848"/>
        <v>n/a</v>
      </c>
      <c r="Q710" s="17" t="str">
        <f t="shared" ref="Q710:S710" si="2894">IFERROR(Q785-P785,"n/a")</f>
        <v>n/a</v>
      </c>
      <c r="R710" s="17" t="str">
        <f t="shared" si="2894"/>
        <v>n/a</v>
      </c>
      <c r="S710" s="17" t="str">
        <f t="shared" si="2894"/>
        <v>n/a</v>
      </c>
      <c r="T710" s="17" t="str">
        <f t="shared" si="2850"/>
        <v>n/a</v>
      </c>
      <c r="U710" s="17" t="str">
        <f t="shared" ref="U710:W710" si="2895">IFERROR(U785-T785,"n/a")</f>
        <v>n/a</v>
      </c>
      <c r="V710" s="17" t="str">
        <f t="shared" si="2895"/>
        <v>n/a</v>
      </c>
      <c r="W710" s="17" t="str">
        <f t="shared" si="2895"/>
        <v>n/a</v>
      </c>
      <c r="X710" s="17" t="str">
        <f t="shared" si="2852"/>
        <v>n/a</v>
      </c>
      <c r="Y710" s="17" t="str">
        <f t="shared" ref="Y710:AA710" si="2896">IFERROR(Y785-X785,"n/a")</f>
        <v>n/a</v>
      </c>
      <c r="Z710" s="17" t="str">
        <f t="shared" si="2896"/>
        <v>n/a</v>
      </c>
      <c r="AA710" s="17" t="str">
        <f t="shared" si="2896"/>
        <v>n/a</v>
      </c>
      <c r="AB710" s="17" t="str">
        <f t="shared" si="2854"/>
        <v>n/a</v>
      </c>
      <c r="AC710" s="17" t="str">
        <f t="shared" si="2855"/>
        <v>n/a</v>
      </c>
      <c r="AD710" s="17" t="str">
        <f t="shared" si="2855"/>
        <v>n/a</v>
      </c>
      <c r="AE710" s="17" t="str">
        <f t="shared" si="2855"/>
        <v>n/a</v>
      </c>
      <c r="AF710" s="17" t="str">
        <f t="shared" si="2819"/>
        <v>n/a</v>
      </c>
      <c r="AG710" s="17" t="str">
        <f t="shared" si="2855"/>
        <v>n/a</v>
      </c>
      <c r="AH710" s="17" t="str">
        <f t="shared" si="2855"/>
        <v>n/a</v>
      </c>
      <c r="AO710" s="11">
        <v>0</v>
      </c>
      <c r="AP710" s="11">
        <v>0</v>
      </c>
      <c r="AQ710" s="11">
        <v>0</v>
      </c>
      <c r="AR710" s="11">
        <v>0</v>
      </c>
      <c r="AS710" s="11">
        <v>-922.89700000000005</v>
      </c>
      <c r="AT710" s="11">
        <v>-1875.472</v>
      </c>
      <c r="AU710" s="11">
        <v>0</v>
      </c>
      <c r="AV710" s="17">
        <f t="shared" si="2856"/>
        <v>0</v>
      </c>
    </row>
    <row r="711" spans="2:48" x14ac:dyDescent="0.2">
      <c r="B711" t="s">
        <v>167</v>
      </c>
      <c r="H711" s="17" t="str">
        <f t="shared" si="2844"/>
        <v>n/a</v>
      </c>
      <c r="I711" s="17" t="str">
        <f t="shared" ref="I711:K711" si="2897">IFERROR(I786-H786,"n/a")</f>
        <v>n/a</v>
      </c>
      <c r="J711" s="17" t="str">
        <f t="shared" si="2897"/>
        <v>n/a</v>
      </c>
      <c r="K711" s="17" t="str">
        <f t="shared" si="2897"/>
        <v>n/a</v>
      </c>
      <c r="L711" s="17" t="str">
        <f t="shared" si="2846"/>
        <v>n/a</v>
      </c>
      <c r="M711" s="17" t="str">
        <f t="shared" ref="M711:O711" si="2898">IFERROR(M786-L786,"n/a")</f>
        <v>n/a</v>
      </c>
      <c r="N711" s="17" t="str">
        <f t="shared" si="2898"/>
        <v>n/a</v>
      </c>
      <c r="O711" s="17" t="str">
        <f t="shared" si="2898"/>
        <v>n/a</v>
      </c>
      <c r="P711" s="17" t="str">
        <f t="shared" si="2848"/>
        <v>n/a</v>
      </c>
      <c r="Q711" s="17" t="str">
        <f t="shared" ref="Q711:S711" si="2899">IFERROR(Q786-P786,"n/a")</f>
        <v>n/a</v>
      </c>
      <c r="R711" s="17" t="str">
        <f t="shared" si="2899"/>
        <v>n/a</v>
      </c>
      <c r="S711" s="17" t="str">
        <f t="shared" si="2899"/>
        <v>n/a</v>
      </c>
      <c r="T711" s="17" t="str">
        <f t="shared" si="2850"/>
        <v>n/a</v>
      </c>
      <c r="U711" s="17" t="str">
        <f t="shared" ref="U711:W711" si="2900">IFERROR(U786-T786,"n/a")</f>
        <v>n/a</v>
      </c>
      <c r="V711" s="17" t="str">
        <f t="shared" si="2900"/>
        <v>n/a</v>
      </c>
      <c r="W711" s="17" t="str">
        <f t="shared" si="2900"/>
        <v>n/a</v>
      </c>
      <c r="X711" s="17" t="str">
        <f t="shared" si="2852"/>
        <v>n/a</v>
      </c>
      <c r="Y711" s="17" t="str">
        <f t="shared" ref="Y711:AA711" si="2901">IFERROR(Y786-X786,"n/a")</f>
        <v>n/a</v>
      </c>
      <c r="Z711" s="17" t="str">
        <f t="shared" si="2901"/>
        <v>n/a</v>
      </c>
      <c r="AA711" s="17" t="str">
        <f t="shared" si="2901"/>
        <v>n/a</v>
      </c>
      <c r="AB711" s="17" t="str">
        <f t="shared" si="2854"/>
        <v>n/a</v>
      </c>
      <c r="AC711" s="17" t="str">
        <f t="shared" si="2855"/>
        <v>n/a</v>
      </c>
      <c r="AD711" s="17" t="str">
        <f t="shared" si="2855"/>
        <v>n/a</v>
      </c>
      <c r="AE711" s="17" t="str">
        <f t="shared" si="2855"/>
        <v>n/a</v>
      </c>
      <c r="AF711" s="17" t="str">
        <f t="shared" si="2819"/>
        <v>n/a</v>
      </c>
      <c r="AG711" s="17" t="str">
        <f t="shared" si="2855"/>
        <v>n/a</v>
      </c>
      <c r="AH711" s="17" t="str">
        <f t="shared" si="2855"/>
        <v>n/a</v>
      </c>
      <c r="AO711" s="11">
        <v>0</v>
      </c>
      <c r="AP711" s="11">
        <v>-32.677</v>
      </c>
      <c r="AQ711" s="11">
        <v>0</v>
      </c>
      <c r="AR711" s="11">
        <v>0</v>
      </c>
      <c r="AS711" s="11">
        <v>0</v>
      </c>
      <c r="AT711" s="11">
        <v>0</v>
      </c>
      <c r="AU711" s="11">
        <v>0</v>
      </c>
      <c r="AV711" s="17">
        <f t="shared" si="2856"/>
        <v>0</v>
      </c>
    </row>
    <row r="712" spans="2:48" x14ac:dyDescent="0.2">
      <c r="B712" t="s">
        <v>168</v>
      </c>
      <c r="H712" s="17" t="str">
        <f t="shared" si="2844"/>
        <v>n/a</v>
      </c>
      <c r="I712" s="17" t="str">
        <f t="shared" ref="I712:K712" si="2902">IFERROR(I787-H787,"n/a")</f>
        <v>n/a</v>
      </c>
      <c r="J712" s="17" t="str">
        <f t="shared" si="2902"/>
        <v>n/a</v>
      </c>
      <c r="K712" s="17" t="str">
        <f t="shared" si="2902"/>
        <v>n/a</v>
      </c>
      <c r="L712" s="17" t="str">
        <f t="shared" si="2846"/>
        <v>n/a</v>
      </c>
      <c r="M712" s="17" t="str">
        <f t="shared" ref="M712:O712" si="2903">IFERROR(M787-L787,"n/a")</f>
        <v>n/a</v>
      </c>
      <c r="N712" s="17" t="str">
        <f t="shared" si="2903"/>
        <v>n/a</v>
      </c>
      <c r="O712" s="17" t="str">
        <f t="shared" si="2903"/>
        <v>n/a</v>
      </c>
      <c r="P712" s="17" t="str">
        <f t="shared" si="2848"/>
        <v>n/a</v>
      </c>
      <c r="Q712" s="17" t="str">
        <f t="shared" ref="Q712:S712" si="2904">IFERROR(Q787-P787,"n/a")</f>
        <v>n/a</v>
      </c>
      <c r="R712" s="17" t="str">
        <f t="shared" si="2904"/>
        <v>n/a</v>
      </c>
      <c r="S712" s="17" t="str">
        <f t="shared" si="2904"/>
        <v>n/a</v>
      </c>
      <c r="T712" s="17" t="str">
        <f t="shared" si="2850"/>
        <v>n/a</v>
      </c>
      <c r="U712" s="17" t="str">
        <f t="shared" ref="U712:W712" si="2905">IFERROR(U787-T787,"n/a")</f>
        <v>n/a</v>
      </c>
      <c r="V712" s="17" t="str">
        <f t="shared" si="2905"/>
        <v>n/a</v>
      </c>
      <c r="W712" s="17" t="str">
        <f t="shared" si="2905"/>
        <v>n/a</v>
      </c>
      <c r="X712" s="17" t="str">
        <f t="shared" si="2852"/>
        <v>n/a</v>
      </c>
      <c r="Y712" s="17" t="str">
        <f t="shared" ref="Y712:AA712" si="2906">IFERROR(Y787-X787,"n/a")</f>
        <v>n/a</v>
      </c>
      <c r="Z712" s="17" t="str">
        <f t="shared" si="2906"/>
        <v>n/a</v>
      </c>
      <c r="AA712" s="17" t="str">
        <f t="shared" si="2906"/>
        <v>n/a</v>
      </c>
      <c r="AB712" s="17" t="str">
        <f t="shared" si="2854"/>
        <v>n/a</v>
      </c>
      <c r="AC712" s="17" t="str">
        <f t="shared" si="2855"/>
        <v>n/a</v>
      </c>
      <c r="AD712" s="17" t="str">
        <f t="shared" si="2855"/>
        <v>n/a</v>
      </c>
      <c r="AE712" s="17" t="str">
        <f t="shared" si="2855"/>
        <v>n/a</v>
      </c>
      <c r="AF712" s="17" t="str">
        <f t="shared" si="2819"/>
        <v>n/a</v>
      </c>
      <c r="AG712" s="17" t="str">
        <f t="shared" si="2855"/>
        <v>n/a</v>
      </c>
      <c r="AH712" s="17" t="str">
        <f t="shared" si="2855"/>
        <v>n/a</v>
      </c>
      <c r="AO712" s="11">
        <v>0</v>
      </c>
      <c r="AP712" s="11">
        <v>0</v>
      </c>
      <c r="AQ712" s="11">
        <v>0</v>
      </c>
      <c r="AR712" s="11">
        <v>0</v>
      </c>
      <c r="AS712" s="11">
        <v>0</v>
      </c>
      <c r="AT712" s="11">
        <v>0</v>
      </c>
      <c r="AU712" s="11">
        <v>0</v>
      </c>
      <c r="AV712" s="17">
        <f t="shared" si="2856"/>
        <v>0</v>
      </c>
    </row>
    <row r="713" spans="2:48" x14ac:dyDescent="0.2">
      <c r="B713" t="s">
        <v>169</v>
      </c>
      <c r="H713" s="17" t="str">
        <f t="shared" si="2844"/>
        <v>n/a</v>
      </c>
      <c r="I713" s="17" t="str">
        <f t="shared" ref="I713:K713" si="2907">IFERROR(I788-H788,"n/a")</f>
        <v>n/a</v>
      </c>
      <c r="J713" s="17" t="str">
        <f t="shared" si="2907"/>
        <v>n/a</v>
      </c>
      <c r="K713" s="17" t="str">
        <f t="shared" si="2907"/>
        <v>n/a</v>
      </c>
      <c r="L713" s="17" t="str">
        <f t="shared" si="2846"/>
        <v>n/a</v>
      </c>
      <c r="M713" s="17" t="str">
        <f t="shared" ref="M713:O713" si="2908">IFERROR(M788-L788,"n/a")</f>
        <v>n/a</v>
      </c>
      <c r="N713" s="17" t="str">
        <f t="shared" si="2908"/>
        <v>n/a</v>
      </c>
      <c r="O713" s="17" t="str">
        <f t="shared" si="2908"/>
        <v>n/a</v>
      </c>
      <c r="P713" s="17" t="str">
        <f t="shared" si="2848"/>
        <v>n/a</v>
      </c>
      <c r="Q713" s="17" t="str">
        <f t="shared" ref="Q713:S713" si="2909">IFERROR(Q788-P788,"n/a")</f>
        <v>n/a</v>
      </c>
      <c r="R713" s="17" t="str">
        <f t="shared" si="2909"/>
        <v>n/a</v>
      </c>
      <c r="S713" s="17" t="str">
        <f t="shared" si="2909"/>
        <v>n/a</v>
      </c>
      <c r="T713" s="17" t="str">
        <f t="shared" si="2850"/>
        <v>n/a</v>
      </c>
      <c r="U713" s="17" t="str">
        <f t="shared" ref="U713:W713" si="2910">IFERROR(U788-T788,"n/a")</f>
        <v>n/a</v>
      </c>
      <c r="V713" s="17" t="str">
        <f t="shared" si="2910"/>
        <v>n/a</v>
      </c>
      <c r="W713" s="17" t="str">
        <f t="shared" si="2910"/>
        <v>n/a</v>
      </c>
      <c r="X713" s="17" t="str">
        <f t="shared" si="2852"/>
        <v>n/a</v>
      </c>
      <c r="Y713" s="17" t="str">
        <f t="shared" ref="Y713:AA713" si="2911">IFERROR(Y788-X788,"n/a")</f>
        <v>n/a</v>
      </c>
      <c r="Z713" s="17" t="str">
        <f t="shared" si="2911"/>
        <v>n/a</v>
      </c>
      <c r="AA713" s="17" t="str">
        <f t="shared" si="2911"/>
        <v>n/a</v>
      </c>
      <c r="AB713" s="17" t="str">
        <f t="shared" si="2854"/>
        <v>n/a</v>
      </c>
      <c r="AC713" s="17" t="str">
        <f t="shared" si="2855"/>
        <v>n/a</v>
      </c>
      <c r="AD713" s="17" t="str">
        <f t="shared" si="2855"/>
        <v>n/a</v>
      </c>
      <c r="AE713" s="17" t="str">
        <f t="shared" si="2855"/>
        <v>n/a</v>
      </c>
      <c r="AF713" s="17" t="str">
        <f t="shared" si="2819"/>
        <v>n/a</v>
      </c>
      <c r="AG713" s="17" t="str">
        <f t="shared" si="2855"/>
        <v>n/a</v>
      </c>
      <c r="AH713" s="17" t="str">
        <f t="shared" si="2855"/>
        <v>n/a</v>
      </c>
      <c r="AO713" s="11">
        <v>0</v>
      </c>
      <c r="AP713" s="11">
        <v>0</v>
      </c>
      <c r="AQ713" s="11">
        <v>11879.944</v>
      </c>
      <c r="AR713" s="11">
        <v>0</v>
      </c>
      <c r="AS713" s="11">
        <v>0</v>
      </c>
      <c r="AT713" s="11">
        <v>0</v>
      </c>
      <c r="AU713" s="11">
        <v>0</v>
      </c>
      <c r="AV713" s="17">
        <f t="shared" si="2856"/>
        <v>0</v>
      </c>
    </row>
    <row r="714" spans="2:48" ht="13.5" x14ac:dyDescent="0.35">
      <c r="B714" t="s">
        <v>96</v>
      </c>
      <c r="H714" s="36" t="str">
        <f t="shared" si="2844"/>
        <v>n/a</v>
      </c>
      <c r="I714" s="36" t="str">
        <f t="shared" ref="I714:K714" si="2912">IFERROR(I789-H789,"n/a")</f>
        <v>n/a</v>
      </c>
      <c r="J714" s="36" t="str">
        <f t="shared" si="2912"/>
        <v>n/a</v>
      </c>
      <c r="K714" s="36" t="str">
        <f t="shared" si="2912"/>
        <v>n/a</v>
      </c>
      <c r="L714" s="36" t="str">
        <f t="shared" si="2846"/>
        <v>n/a</v>
      </c>
      <c r="M714" s="36" t="str">
        <f t="shared" ref="M714:O714" si="2913">IFERROR(M789-L789,"n/a")</f>
        <v>n/a</v>
      </c>
      <c r="N714" s="36" t="str">
        <f t="shared" si="2913"/>
        <v>n/a</v>
      </c>
      <c r="O714" s="36" t="str">
        <f t="shared" si="2913"/>
        <v>n/a</v>
      </c>
      <c r="P714" s="36" t="str">
        <f t="shared" si="2848"/>
        <v>n/a</v>
      </c>
      <c r="Q714" s="36" t="str">
        <f t="shared" ref="Q714:S714" si="2914">IFERROR(Q789-P789,"n/a")</f>
        <v>n/a</v>
      </c>
      <c r="R714" s="36" t="str">
        <f t="shared" si="2914"/>
        <v>n/a</v>
      </c>
      <c r="S714" s="36" t="str">
        <f t="shared" si="2914"/>
        <v>n/a</v>
      </c>
      <c r="T714" s="36" t="str">
        <f t="shared" si="2850"/>
        <v>n/a</v>
      </c>
      <c r="U714" s="36" t="str">
        <f t="shared" ref="U714:W714" si="2915">IFERROR(U789-T789,"n/a")</f>
        <v>n/a</v>
      </c>
      <c r="V714" s="36" t="str">
        <f t="shared" si="2915"/>
        <v>n/a</v>
      </c>
      <c r="W714" s="36" t="str">
        <f t="shared" si="2915"/>
        <v>n/a</v>
      </c>
      <c r="X714" s="36" t="str">
        <f t="shared" si="2852"/>
        <v>n/a</v>
      </c>
      <c r="Y714" s="36" t="str">
        <f t="shared" ref="Y714:AA714" si="2916">IFERROR(Y789-X789,"n/a")</f>
        <v>n/a</v>
      </c>
      <c r="Z714" s="36" t="str">
        <f t="shared" si="2916"/>
        <v>n/a</v>
      </c>
      <c r="AA714" s="36" t="str">
        <f t="shared" si="2916"/>
        <v>n/a</v>
      </c>
      <c r="AB714" s="36" t="str">
        <f t="shared" si="2854"/>
        <v>n/a</v>
      </c>
      <c r="AC714" s="36" t="str">
        <f t="shared" si="2855"/>
        <v>n/a</v>
      </c>
      <c r="AD714" s="36" t="str">
        <f t="shared" si="2855"/>
        <v>n/a</v>
      </c>
      <c r="AE714" s="36" t="str">
        <f t="shared" si="2855"/>
        <v>n/a</v>
      </c>
      <c r="AF714" s="36" t="str">
        <f t="shared" si="2819"/>
        <v>n/a</v>
      </c>
      <c r="AG714" s="36" t="str">
        <f t="shared" si="2855"/>
        <v>n/a</v>
      </c>
      <c r="AH714" s="36" t="str">
        <f t="shared" si="2855"/>
        <v>n/a</v>
      </c>
      <c r="AO714" s="13">
        <v>0</v>
      </c>
      <c r="AP714" s="13">
        <v>0</v>
      </c>
      <c r="AQ714" s="13">
        <v>0</v>
      </c>
      <c r="AR714" s="13">
        <v>0</v>
      </c>
      <c r="AS714" s="13">
        <v>-6.0000000000000001E-3</v>
      </c>
      <c r="AT714" s="13">
        <v>0.318</v>
      </c>
      <c r="AU714" s="13">
        <v>10.079000000000001</v>
      </c>
      <c r="AV714" s="36">
        <f t="shared" si="2856"/>
        <v>8.1910000000000007</v>
      </c>
    </row>
    <row r="715" spans="2:48" s="1" customFormat="1" x14ac:dyDescent="0.2">
      <c r="B715" s="38" t="s">
        <v>176</v>
      </c>
      <c r="H715" s="48">
        <f t="shared" si="2844"/>
        <v>5824.5680000000002</v>
      </c>
      <c r="I715" s="48">
        <f t="shared" ref="I715:K715" si="2917">IFERROR(I790-H790,"n/a")</f>
        <v>-3.7889999999997599</v>
      </c>
      <c r="J715" s="48">
        <f t="shared" si="2917"/>
        <v>11537.514000000001</v>
      </c>
      <c r="K715" s="49">
        <f t="shared" si="2917"/>
        <v>-13.936000000001513</v>
      </c>
      <c r="L715" s="48">
        <f t="shared" si="2846"/>
        <v>7993.8280000000004</v>
      </c>
      <c r="M715" s="48">
        <f t="shared" ref="M715:O715" si="2918">IFERROR(M790-L790,"n/a")</f>
        <v>0</v>
      </c>
      <c r="N715" s="48">
        <f t="shared" si="2918"/>
        <v>6967.0039999999999</v>
      </c>
      <c r="O715" s="49">
        <f t="shared" si="2918"/>
        <v>893.89900000000125</v>
      </c>
      <c r="P715" s="48">
        <f t="shared" si="2848"/>
        <v>1205.472</v>
      </c>
      <c r="Q715" s="48">
        <f t="shared" ref="Q715:S715" si="2919">IFERROR(Q790-P790,"n/a")</f>
        <v>8418.741</v>
      </c>
      <c r="R715" s="48">
        <f t="shared" si="2919"/>
        <v>0</v>
      </c>
      <c r="S715" s="49">
        <f t="shared" si="2919"/>
        <v>42174.78300000001</v>
      </c>
      <c r="T715" s="48">
        <f t="shared" si="2850"/>
        <v>-1238.874</v>
      </c>
      <c r="U715" s="48">
        <f t="shared" ref="U715:W715" si="2920">IFERROR(U790-T790,"n/a")</f>
        <v>-636.61899999999991</v>
      </c>
      <c r="V715" s="48">
        <f t="shared" si="2920"/>
        <v>0.14599999999995816</v>
      </c>
      <c r="W715" s="49">
        <f t="shared" si="2920"/>
        <v>0.19299999999998363</v>
      </c>
      <c r="X715" s="48">
        <f t="shared" si="2852"/>
        <v>4.2999999999999997E-2</v>
      </c>
      <c r="Y715" s="48">
        <f t="shared" ref="Y715:AA715" si="2921">IFERROR(Y790-X790,"n/a")</f>
        <v>0.26800000000000002</v>
      </c>
      <c r="Z715" s="48">
        <f t="shared" si="2921"/>
        <v>0.25799999999999995</v>
      </c>
      <c r="AA715" s="49">
        <f t="shared" si="2921"/>
        <v>9.5100000000000016</v>
      </c>
      <c r="AB715" s="48">
        <f t="shared" si="2854"/>
        <v>5.2999999999999999E-2</v>
      </c>
      <c r="AC715" s="48">
        <f t="shared" si="2855"/>
        <v>7.2329999999999997</v>
      </c>
      <c r="AD715" s="48">
        <f t="shared" si="2855"/>
        <v>0.38500000000000068</v>
      </c>
      <c r="AE715" s="48">
        <f t="shared" si="2855"/>
        <v>-8968.2969999999987</v>
      </c>
      <c r="AF715" s="48">
        <f t="shared" si="2819"/>
        <v>0.03</v>
      </c>
      <c r="AG715" s="48">
        <f t="shared" si="2855"/>
        <v>0.69799999999999995</v>
      </c>
      <c r="AH715" s="48">
        <f t="shared" si="2855"/>
        <v>0.16200000000000003</v>
      </c>
      <c r="AO715" s="48">
        <f>SUM(AO699:AO714)</f>
        <v>486.53799999999995</v>
      </c>
      <c r="AP715" s="48">
        <f t="shared" ref="AP715" si="2922">SUM(AP699:AP714)</f>
        <v>1398.8600000000001</v>
      </c>
      <c r="AQ715" s="48">
        <f t="shared" ref="AQ715" si="2923">SUM(AQ699:AQ714)</f>
        <v>17344.357</v>
      </c>
      <c r="AR715" s="48">
        <f t="shared" ref="AR715" si="2924">SUM(AR699:AR714)</f>
        <v>15854.731000000002</v>
      </c>
      <c r="AS715" s="48">
        <f t="shared" ref="AS715" si="2925">SUM(AS699:AS714)</f>
        <v>51798.996000000006</v>
      </c>
      <c r="AT715" s="48">
        <f t="shared" ref="AT715" si="2926">SUM(AT699:AT714)</f>
        <v>-1875.154</v>
      </c>
      <c r="AU715" s="48">
        <f t="shared" ref="AU715" si="2927">SUM(AU699:AU714)</f>
        <v>10.079000000000001</v>
      </c>
      <c r="AV715" s="48">
        <f t="shared" si="2856"/>
        <v>-8960.6259999999984</v>
      </c>
    </row>
    <row r="716" spans="2:48" x14ac:dyDescent="0.2">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O716" s="11"/>
      <c r="AP716" s="11"/>
      <c r="AQ716" s="11"/>
      <c r="AR716" s="11"/>
      <c r="AS716" s="11"/>
      <c r="AT716" s="11"/>
      <c r="AU716" s="11"/>
      <c r="AV716" s="11"/>
    </row>
    <row r="717" spans="2:48" ht="13.5" x14ac:dyDescent="0.35">
      <c r="B717" t="s">
        <v>178</v>
      </c>
      <c r="H717" s="15">
        <f>H792</f>
        <v>-75.799000000000007</v>
      </c>
      <c r="I717" s="15">
        <f t="shared" ref="I717:K717" si="2928">IFERROR(I792-H792,"n/a")</f>
        <v>330.62</v>
      </c>
      <c r="J717" s="15">
        <f t="shared" si="2928"/>
        <v>359.05599999999993</v>
      </c>
      <c r="K717" s="36">
        <f t="shared" si="2928"/>
        <v>-66.966999999999985</v>
      </c>
      <c r="L717" s="15">
        <f>L792</f>
        <v>-228.49700000000001</v>
      </c>
      <c r="M717" s="15">
        <f t="shared" ref="M717:O717" si="2929">IFERROR(M792-L792,"n/a")</f>
        <v>436.36800000000005</v>
      </c>
      <c r="N717" s="15">
        <f t="shared" si="2929"/>
        <v>292.53099999999995</v>
      </c>
      <c r="O717" s="36">
        <f t="shared" si="2929"/>
        <v>-50.259999999999991</v>
      </c>
      <c r="P717" s="15">
        <f>P792</f>
        <v>99.058000000000007</v>
      </c>
      <c r="Q717" s="15">
        <f t="shared" ref="Q717:S717" si="2930">IFERROR(Q792-P792,"n/a")</f>
        <v>-39.494000000000007</v>
      </c>
      <c r="R717" s="15">
        <f t="shared" si="2930"/>
        <v>-15.868000000000002</v>
      </c>
      <c r="S717" s="36">
        <f t="shared" si="2930"/>
        <v>-183.63900000000001</v>
      </c>
      <c r="T717" s="15">
        <f>T792</f>
        <v>51.55</v>
      </c>
      <c r="U717" s="15">
        <f t="shared" ref="U717:W717" si="2931">IFERROR(U792-T792,"n/a")</f>
        <v>-192.41300000000001</v>
      </c>
      <c r="V717" s="15">
        <f t="shared" si="2931"/>
        <v>22.159999999999997</v>
      </c>
      <c r="W717" s="36">
        <f t="shared" si="2931"/>
        <v>-26.454000000000008</v>
      </c>
      <c r="X717" s="15">
        <f>X792</f>
        <v>10.163</v>
      </c>
      <c r="Y717" s="15">
        <f t="shared" ref="Y717:AA717" si="2932">IFERROR(Y792-X792,"n/a")</f>
        <v>-50.838999999999999</v>
      </c>
      <c r="Z717" s="15">
        <f t="shared" si="2932"/>
        <v>250.22699999999998</v>
      </c>
      <c r="AA717" s="36">
        <f t="shared" si="2932"/>
        <v>-109.37399999999998</v>
      </c>
      <c r="AB717" s="15">
        <f>AB792</f>
        <v>-348.245</v>
      </c>
      <c r="AC717" s="15">
        <f t="shared" ref="AC717:AH718" si="2933">IFERROR(AC792-AB792,"n/a")</f>
        <v>881.10500000000002</v>
      </c>
      <c r="AD717" s="15">
        <f t="shared" si="2933"/>
        <v>201.05799999999999</v>
      </c>
      <c r="AE717" s="15">
        <f t="shared" si="2933"/>
        <v>-1025.057</v>
      </c>
      <c r="AF717" s="15">
        <f>AF792</f>
        <v>147.92400000000001</v>
      </c>
      <c r="AG717" s="15">
        <f t="shared" si="2933"/>
        <v>92.82</v>
      </c>
      <c r="AH717" s="15">
        <f t="shared" si="2933"/>
        <v>-904.39700000000005</v>
      </c>
      <c r="AO717" s="13">
        <v>20.396999999999998</v>
      </c>
      <c r="AP717" s="13">
        <v>-47.680999999999997</v>
      </c>
      <c r="AQ717" s="13">
        <v>546.91</v>
      </c>
      <c r="AR717" s="13">
        <v>450.142</v>
      </c>
      <c r="AS717" s="13">
        <v>-139.94300000000001</v>
      </c>
      <c r="AT717" s="13">
        <v>-145.15700000000001</v>
      </c>
      <c r="AU717" s="13">
        <v>100.17700000000001</v>
      </c>
      <c r="AV717" s="15">
        <f>AV792</f>
        <v>-291.13900000000001</v>
      </c>
    </row>
    <row r="718" spans="2:48" s="1" customFormat="1" x14ac:dyDescent="0.2">
      <c r="B718" s="38" t="s">
        <v>177</v>
      </c>
      <c r="H718" s="48">
        <f>H793</f>
        <v>5576.1369999999997</v>
      </c>
      <c r="I718" s="48">
        <f t="shared" ref="I718:K718" si="2934">IFERROR(I793-H793,"n/a")</f>
        <v>396.58500000000095</v>
      </c>
      <c r="J718" s="48">
        <f t="shared" si="2934"/>
        <v>5929.1440000000011</v>
      </c>
      <c r="K718" s="49">
        <f t="shared" si="2934"/>
        <v>6208.8189999999995</v>
      </c>
      <c r="L718" s="48">
        <f>L793</f>
        <v>6679.5529999999999</v>
      </c>
      <c r="M718" s="48">
        <f t="shared" ref="M718:O718" si="2935">IFERROR(M793-L793,"n/a")</f>
        <v>3444.9269999999997</v>
      </c>
      <c r="N718" s="48">
        <f t="shared" si="2935"/>
        <v>-6298.0889999999999</v>
      </c>
      <c r="O718" s="49">
        <f t="shared" si="2935"/>
        <v>-1020.2199999999993</v>
      </c>
      <c r="P718" s="48">
        <f>P793</f>
        <v>-846.7320000000002</v>
      </c>
      <c r="Q718" s="48">
        <f t="shared" ref="Q718:S718" si="2936">IFERROR(Q793-P793,"n/a")</f>
        <v>4178.7649999999994</v>
      </c>
      <c r="R718" s="48">
        <f t="shared" si="2936"/>
        <v>7850.8700000000008</v>
      </c>
      <c r="S718" s="49">
        <f t="shared" si="2936"/>
        <v>30314.876000000004</v>
      </c>
      <c r="T718" s="48">
        <f>T793</f>
        <v>-10532.918</v>
      </c>
      <c r="U718" s="48">
        <f t="shared" ref="U718:W718" si="2937">IFERROR(U793-T793,"n/a")</f>
        <v>3058.1269999999995</v>
      </c>
      <c r="V718" s="48">
        <f t="shared" si="2937"/>
        <v>-5005.8829999999989</v>
      </c>
      <c r="W718" s="49">
        <f t="shared" si="2937"/>
        <v>3681.0089999999927</v>
      </c>
      <c r="X718" s="48">
        <f>X793</f>
        <v>-13909.978999999999</v>
      </c>
      <c r="Y718" s="48">
        <f t="shared" ref="Y718:AA718" si="2938">IFERROR(Y793-X793,"n/a")</f>
        <v>10730.028999999999</v>
      </c>
      <c r="Z718" s="48">
        <f t="shared" si="2938"/>
        <v>11545.914000000002</v>
      </c>
      <c r="AA718" s="49">
        <f t="shared" si="2938"/>
        <v>17890.481999999989</v>
      </c>
      <c r="AB718" s="48">
        <f>AB793</f>
        <v>-21630.416999999998</v>
      </c>
      <c r="AC718" s="48">
        <f t="shared" si="2933"/>
        <v>12764.458999999995</v>
      </c>
      <c r="AD718" s="48">
        <f t="shared" si="2933"/>
        <v>27918.799999999999</v>
      </c>
      <c r="AE718" s="48">
        <f t="shared" si="2933"/>
        <v>10426.645999999997</v>
      </c>
      <c r="AF718" s="48">
        <f>AF793</f>
        <v>-7074.9879999999994</v>
      </c>
      <c r="AG718" s="48">
        <f t="shared" si="2933"/>
        <v>8487</v>
      </c>
      <c r="AH718" s="48">
        <f t="shared" si="2933"/>
        <v>2496.5780000000022</v>
      </c>
      <c r="AO718" s="48">
        <f t="shared" ref="AO718:AU718" si="2939">+AO679+AO696+AO715+AO717</f>
        <v>1079.4110000000003</v>
      </c>
      <c r="AP718" s="48">
        <f t="shared" si="2939"/>
        <v>1738.309000000002</v>
      </c>
      <c r="AQ718" s="48">
        <f t="shared" si="2939"/>
        <v>18110.685000000001</v>
      </c>
      <c r="AR718" s="48">
        <f t="shared" si="2939"/>
        <v>2806.1710000000003</v>
      </c>
      <c r="AS718" s="48">
        <f t="shared" si="2939"/>
        <v>41497.779000000002</v>
      </c>
      <c r="AT718" s="48">
        <f t="shared" si="2939"/>
        <v>-8799.6650000000063</v>
      </c>
      <c r="AU718" s="48">
        <f t="shared" si="2939"/>
        <v>26256.445999999993</v>
      </c>
      <c r="AV718" s="48">
        <f>AV793</f>
        <v>29479.487999999994</v>
      </c>
    </row>
    <row r="719" spans="2:48" s="1" customFormat="1" x14ac:dyDescent="0.2">
      <c r="B719" s="38"/>
      <c r="H719" s="48"/>
      <c r="I719" s="48"/>
      <c r="J719" s="48"/>
      <c r="K719" s="49"/>
      <c r="L719" s="48"/>
      <c r="M719" s="48"/>
      <c r="N719" s="48"/>
      <c r="O719" s="49"/>
      <c r="P719" s="48"/>
      <c r="Q719" s="48"/>
      <c r="R719" s="48"/>
      <c r="S719" s="49"/>
      <c r="T719" s="48"/>
      <c r="U719" s="48"/>
      <c r="V719" s="48"/>
      <c r="W719" s="49"/>
      <c r="X719" s="48"/>
      <c r="Y719" s="48"/>
      <c r="Z719" s="48"/>
      <c r="AA719" s="49"/>
      <c r="AB719" s="48"/>
      <c r="AC719" s="48"/>
      <c r="AD719" s="48"/>
      <c r="AE719" s="49"/>
      <c r="AO719" s="48"/>
      <c r="AP719" s="48"/>
      <c r="AQ719" s="48"/>
      <c r="AR719" s="48"/>
      <c r="AS719" s="48"/>
      <c r="AT719" s="48"/>
      <c r="AU719" s="48"/>
    </row>
    <row r="720" spans="2:48" s="1" customFormat="1" x14ac:dyDescent="0.2">
      <c r="B720" s="6" t="s">
        <v>180</v>
      </c>
      <c r="C720" s="5"/>
      <c r="D720"/>
      <c r="E720"/>
      <c r="F720"/>
      <c r="G720"/>
      <c r="H720" s="48"/>
      <c r="I720" s="48"/>
      <c r="J720" s="48"/>
      <c r="K720" s="49"/>
      <c r="L720" s="48"/>
      <c r="M720" s="48"/>
      <c r="N720" s="48"/>
      <c r="O720" s="49"/>
      <c r="P720" s="48"/>
      <c r="Q720" s="48"/>
      <c r="R720" s="48"/>
      <c r="S720" s="49"/>
      <c r="T720" s="48"/>
      <c r="U720" s="48"/>
      <c r="V720" s="48"/>
      <c r="W720" s="49"/>
      <c r="X720" s="48"/>
      <c r="Y720" s="48"/>
      <c r="Z720" s="48"/>
      <c r="AA720" s="49"/>
      <c r="AB720" s="48"/>
      <c r="AC720" s="48"/>
      <c r="AD720" s="48"/>
      <c r="AO720" s="48"/>
      <c r="AP720" s="48"/>
      <c r="AQ720" s="48"/>
      <c r="AR720" s="48"/>
      <c r="AS720" s="48"/>
      <c r="AT720" s="48"/>
      <c r="AU720" s="48"/>
    </row>
    <row r="721" spans="2:48" s="1" customFormat="1" x14ac:dyDescent="0.2">
      <c r="C721"/>
      <c r="D721"/>
      <c r="E721"/>
      <c r="F721"/>
      <c r="G721"/>
      <c r="H721" s="48"/>
      <c r="I721" s="48"/>
      <c r="J721" s="48"/>
      <c r="K721" s="49"/>
      <c r="L721" s="48"/>
      <c r="M721" s="48"/>
      <c r="N721" s="48"/>
      <c r="O721" s="49"/>
      <c r="P721" s="48"/>
      <c r="Q721" s="48"/>
      <c r="R721" s="48"/>
      <c r="S721" s="49"/>
      <c r="T721" s="48"/>
      <c r="U721" s="48"/>
      <c r="V721" s="48"/>
      <c r="W721" s="49"/>
      <c r="X721" s="48"/>
      <c r="Y721" s="48"/>
      <c r="Z721" s="48"/>
      <c r="AA721" s="49"/>
      <c r="AB721" s="48"/>
      <c r="AC721" s="48"/>
      <c r="AD721" s="48"/>
      <c r="AO721" s="48"/>
      <c r="AP721" s="48"/>
      <c r="AQ721" s="48"/>
      <c r="AR721" s="48"/>
      <c r="AS721" s="48"/>
      <c r="AT721" s="48"/>
      <c r="AU721" s="48"/>
    </row>
    <row r="722" spans="2:48" x14ac:dyDescent="0.2">
      <c r="B722" s="24" t="s">
        <v>179</v>
      </c>
    </row>
    <row r="723" spans="2:48" x14ac:dyDescent="0.2">
      <c r="B723" s="1" t="s">
        <v>170</v>
      </c>
    </row>
    <row r="724" spans="2:48" x14ac:dyDescent="0.2">
      <c r="B724" t="s">
        <v>21</v>
      </c>
      <c r="H724" s="12" t="s">
        <v>64</v>
      </c>
      <c r="I724" s="12" t="s">
        <v>64</v>
      </c>
      <c r="J724" s="12" t="s">
        <v>64</v>
      </c>
      <c r="K724" s="17">
        <f>+AQ724</f>
        <v>-10217.125</v>
      </c>
      <c r="L724" s="12" t="s">
        <v>64</v>
      </c>
      <c r="M724" s="12" t="s">
        <v>64</v>
      </c>
      <c r="N724" s="12" t="s">
        <v>64</v>
      </c>
      <c r="O724" s="17">
        <f t="shared" ref="O724:O738" si="2940">+AR724</f>
        <v>-6967.6030000000001</v>
      </c>
      <c r="P724" s="12" t="s">
        <v>64</v>
      </c>
      <c r="Q724" s="12" t="s">
        <v>64</v>
      </c>
      <c r="R724" s="12" t="s">
        <v>64</v>
      </c>
      <c r="S724" s="17">
        <f t="shared" ref="S724:S738" si="2941">+AS724</f>
        <v>-7179.7420000000002</v>
      </c>
      <c r="T724" s="12" t="s">
        <v>64</v>
      </c>
      <c r="U724" s="12" t="s">
        <v>64</v>
      </c>
      <c r="V724" s="12" t="s">
        <v>64</v>
      </c>
      <c r="W724" s="17">
        <f t="shared" ref="W724:W738" si="2942">+AT724</f>
        <v>7768.67</v>
      </c>
      <c r="X724" s="12" t="s">
        <v>64</v>
      </c>
      <c r="Y724" s="12" t="s">
        <v>64</v>
      </c>
      <c r="Z724" s="12" t="s">
        <v>64</v>
      </c>
      <c r="AA724" s="17">
        <f t="shared" ref="AA724:AA738" si="2943">+AU724</f>
        <v>31538.062000000002</v>
      </c>
      <c r="AB724" s="12" t="s">
        <v>64</v>
      </c>
      <c r="AC724" s="12" t="s">
        <v>64</v>
      </c>
      <c r="AD724" s="12" t="s">
        <v>64</v>
      </c>
      <c r="AE724" s="17">
        <f t="shared" ref="AE724:AE738" si="2944">+AV724</f>
        <v>60026.544000000002</v>
      </c>
      <c r="AF724" s="12" t="s">
        <v>64</v>
      </c>
      <c r="AG724" s="12" t="s">
        <v>64</v>
      </c>
      <c r="AH724" s="12" t="s">
        <v>64</v>
      </c>
      <c r="AO724" s="11">
        <v>-291.97699999999998</v>
      </c>
      <c r="AP724" s="11">
        <v>-525.11500000000001</v>
      </c>
      <c r="AQ724" s="11">
        <v>-10217.125</v>
      </c>
      <c r="AR724" s="11">
        <v>-6967.6030000000001</v>
      </c>
      <c r="AS724" s="11">
        <v>-7179.7420000000002</v>
      </c>
      <c r="AT724" s="11">
        <v>7768.67</v>
      </c>
      <c r="AU724" s="11">
        <v>31538.062000000002</v>
      </c>
      <c r="AV724" s="12">
        <v>60026.544000000002</v>
      </c>
    </row>
    <row r="725" spans="2:48" x14ac:dyDescent="0.2">
      <c r="B725" t="s">
        <v>216</v>
      </c>
      <c r="H725" s="12" t="s">
        <v>64</v>
      </c>
      <c r="I725" s="12" t="s">
        <v>64</v>
      </c>
      <c r="J725" s="12" t="s">
        <v>64</v>
      </c>
      <c r="K725" s="17">
        <f t="shared" ref="K725:K754" si="2945">+AQ725</f>
        <v>497.00299999999999</v>
      </c>
      <c r="L725" s="12" t="s">
        <v>64</v>
      </c>
      <c r="M725" s="12" t="s">
        <v>64</v>
      </c>
      <c r="N725" s="12" t="s">
        <v>64</v>
      </c>
      <c r="O725" s="17">
        <f t="shared" si="2940"/>
        <v>637.83100000000002</v>
      </c>
      <c r="P725" s="12" t="s">
        <v>64</v>
      </c>
      <c r="Q725" s="12" t="s">
        <v>64</v>
      </c>
      <c r="R725" s="12" t="s">
        <v>64</v>
      </c>
      <c r="S725" s="17">
        <f t="shared" si="2941"/>
        <v>651.52300000000002</v>
      </c>
      <c r="T725" s="12" t="s">
        <v>64</v>
      </c>
      <c r="U725" s="12" t="s">
        <v>64</v>
      </c>
      <c r="V725" s="12" t="s">
        <v>64</v>
      </c>
      <c r="W725" s="17">
        <f t="shared" si="2942"/>
        <v>1495.38</v>
      </c>
      <c r="X725" s="12" t="s">
        <v>64</v>
      </c>
      <c r="Y725" s="12" t="s">
        <v>64</v>
      </c>
      <c r="Z725" s="12" t="s">
        <v>64</v>
      </c>
      <c r="AA725" s="17">
        <f t="shared" si="2943"/>
        <v>2224.1689999999999</v>
      </c>
      <c r="AB725" s="12" t="s">
        <v>64</v>
      </c>
      <c r="AC725" s="12" t="s">
        <v>64</v>
      </c>
      <c r="AD725" s="12" t="s">
        <v>64</v>
      </c>
      <c r="AE725" s="17">
        <f t="shared" si="2944"/>
        <v>786.23500000000001</v>
      </c>
      <c r="AF725" s="12" t="s">
        <v>64</v>
      </c>
      <c r="AG725" s="12" t="s">
        <v>64</v>
      </c>
      <c r="AH725" s="12" t="s">
        <v>64</v>
      </c>
      <c r="AO725" s="11">
        <v>0.75600000000000001</v>
      </c>
      <c r="AP725" s="11">
        <v>2.2650000000000001</v>
      </c>
      <c r="AQ725" s="11">
        <v>497.00299999999999</v>
      </c>
      <c r="AR725" s="11">
        <v>637.83100000000002</v>
      </c>
      <c r="AS725" s="11">
        <v>651.52300000000002</v>
      </c>
      <c r="AT725" s="11">
        <v>1495.38</v>
      </c>
      <c r="AU725" s="11">
        <v>2224.1689999999999</v>
      </c>
      <c r="AV725" s="12">
        <v>786.23500000000001</v>
      </c>
    </row>
    <row r="726" spans="2:48" x14ac:dyDescent="0.2">
      <c r="B726" t="s">
        <v>123</v>
      </c>
      <c r="H726" s="12" t="s">
        <v>64</v>
      </c>
      <c r="I726" s="12" t="s">
        <v>64</v>
      </c>
      <c r="J726" s="12" t="s">
        <v>64</v>
      </c>
      <c r="K726" s="17">
        <f t="shared" si="2945"/>
        <v>0</v>
      </c>
      <c r="L726" s="12" t="s">
        <v>64</v>
      </c>
      <c r="M726" s="12" t="s">
        <v>64</v>
      </c>
      <c r="N726" s="12" t="s">
        <v>64</v>
      </c>
      <c r="O726" s="17">
        <f t="shared" si="2940"/>
        <v>73.206000000000003</v>
      </c>
      <c r="P726" s="12" t="s">
        <v>64</v>
      </c>
      <c r="Q726" s="12" t="s">
        <v>64</v>
      </c>
      <c r="R726" s="12" t="s">
        <v>64</v>
      </c>
      <c r="S726" s="17">
        <f t="shared" si="2941"/>
        <v>148.94499999999999</v>
      </c>
      <c r="T726" s="12" t="s">
        <v>64</v>
      </c>
      <c r="U726" s="12" t="s">
        <v>64</v>
      </c>
      <c r="V726" s="12" t="s">
        <v>64</v>
      </c>
      <c r="W726" s="17">
        <f t="shared" si="2942"/>
        <v>348.863</v>
      </c>
      <c r="X726" s="12" t="s">
        <v>64</v>
      </c>
      <c r="Y726" s="12" t="s">
        <v>64</v>
      </c>
      <c r="Z726" s="12" t="s">
        <v>64</v>
      </c>
      <c r="AA726" s="17">
        <f t="shared" si="2943"/>
        <v>510.91500000000002</v>
      </c>
      <c r="AB726" s="12" t="s">
        <v>64</v>
      </c>
      <c r="AC726" s="12" t="s">
        <v>64</v>
      </c>
      <c r="AD726" s="12" t="s">
        <v>64</v>
      </c>
      <c r="AE726" s="17">
        <f t="shared" si="2944"/>
        <v>1101.97</v>
      </c>
      <c r="AF726" s="12" t="s">
        <v>64</v>
      </c>
      <c r="AG726" s="12" t="s">
        <v>64</v>
      </c>
      <c r="AH726" s="12" t="s">
        <v>64</v>
      </c>
      <c r="AO726" s="11">
        <v>0</v>
      </c>
      <c r="AP726" s="11">
        <v>0</v>
      </c>
      <c r="AQ726" s="11">
        <v>0</v>
      </c>
      <c r="AR726" s="11">
        <v>73.206000000000003</v>
      </c>
      <c r="AS726" s="11">
        <v>148.94499999999999</v>
      </c>
      <c r="AT726" s="11">
        <v>348.863</v>
      </c>
      <c r="AU726" s="11">
        <v>510.91500000000002</v>
      </c>
      <c r="AV726" s="12">
        <v>1101.97</v>
      </c>
    </row>
    <row r="727" spans="2:48" x14ac:dyDescent="0.2">
      <c r="B727" t="s">
        <v>9</v>
      </c>
      <c r="H727" s="12" t="s">
        <v>64</v>
      </c>
      <c r="I727" s="12" t="s">
        <v>64</v>
      </c>
      <c r="J727" s="12" t="s">
        <v>64</v>
      </c>
      <c r="K727" s="17">
        <f t="shared" si="2945"/>
        <v>0</v>
      </c>
      <c r="L727" s="12" t="s">
        <v>64</v>
      </c>
      <c r="M727" s="12" t="s">
        <v>64</v>
      </c>
      <c r="N727" s="12" t="s">
        <v>64</v>
      </c>
      <c r="O727" s="17">
        <f t="shared" si="2940"/>
        <v>0</v>
      </c>
      <c r="P727" s="12" t="s">
        <v>64</v>
      </c>
      <c r="Q727" s="12" t="s">
        <v>64</v>
      </c>
      <c r="R727" s="12" t="s">
        <v>64</v>
      </c>
      <c r="S727" s="17">
        <f t="shared" si="2941"/>
        <v>0</v>
      </c>
      <c r="T727" s="12" t="s">
        <v>64</v>
      </c>
      <c r="U727" s="12" t="s">
        <v>64</v>
      </c>
      <c r="V727" s="12" t="s">
        <v>64</v>
      </c>
      <c r="W727" s="17">
        <f t="shared" si="2942"/>
        <v>0</v>
      </c>
      <c r="X727" s="12" t="s">
        <v>64</v>
      </c>
      <c r="Y727" s="12" t="s">
        <v>64</v>
      </c>
      <c r="Z727" s="12" t="s">
        <v>64</v>
      </c>
      <c r="AA727" s="17">
        <f t="shared" si="2943"/>
        <v>0</v>
      </c>
      <c r="AB727" s="12" t="s">
        <v>64</v>
      </c>
      <c r="AC727" s="12" t="s">
        <v>64</v>
      </c>
      <c r="AD727" s="12" t="s">
        <v>64</v>
      </c>
      <c r="AE727" s="17">
        <f t="shared" si="2944"/>
        <v>0</v>
      </c>
      <c r="AF727" s="12" t="s">
        <v>64</v>
      </c>
      <c r="AG727" s="12" t="s">
        <v>64</v>
      </c>
      <c r="AH727" s="12" t="s">
        <v>64</v>
      </c>
      <c r="AO727" s="11">
        <v>0</v>
      </c>
      <c r="AP727" s="11">
        <v>10</v>
      </c>
      <c r="AQ727" s="11">
        <v>0</v>
      </c>
      <c r="AR727" s="11">
        <v>0</v>
      </c>
      <c r="AS727" s="11">
        <v>0</v>
      </c>
      <c r="AT727" s="11">
        <v>0</v>
      </c>
      <c r="AU727" s="11">
        <v>0</v>
      </c>
      <c r="AV727" s="12">
        <v>0</v>
      </c>
    </row>
    <row r="728" spans="2:48" x14ac:dyDescent="0.2">
      <c r="B728" t="s">
        <v>16</v>
      </c>
      <c r="H728" s="12" t="s">
        <v>64</v>
      </c>
      <c r="I728" s="12" t="s">
        <v>64</v>
      </c>
      <c r="J728" s="12" t="s">
        <v>64</v>
      </c>
      <c r="K728" s="17">
        <f t="shared" si="2945"/>
        <v>0</v>
      </c>
      <c r="L728" s="12" t="s">
        <v>64</v>
      </c>
      <c r="M728" s="12" t="s">
        <v>64</v>
      </c>
      <c r="N728" s="12" t="s">
        <v>64</v>
      </c>
      <c r="O728" s="17">
        <f t="shared" si="2940"/>
        <v>0</v>
      </c>
      <c r="P728" s="12" t="s">
        <v>64</v>
      </c>
      <c r="Q728" s="12" t="s">
        <v>64</v>
      </c>
      <c r="R728" s="12" t="s">
        <v>64</v>
      </c>
      <c r="S728" s="17">
        <f t="shared" si="2941"/>
        <v>0</v>
      </c>
      <c r="T728" s="12" t="s">
        <v>64</v>
      </c>
      <c r="U728" s="12" t="s">
        <v>64</v>
      </c>
      <c r="V728" s="12" t="s">
        <v>64</v>
      </c>
      <c r="W728" s="17">
        <f t="shared" si="2942"/>
        <v>0</v>
      </c>
      <c r="X728" s="12" t="s">
        <v>64</v>
      </c>
      <c r="Y728" s="12" t="s">
        <v>64</v>
      </c>
      <c r="Z728" s="12" t="s">
        <v>64</v>
      </c>
      <c r="AA728" s="17">
        <f t="shared" si="2943"/>
        <v>0</v>
      </c>
      <c r="AB728" s="12" t="s">
        <v>64</v>
      </c>
      <c r="AC728" s="12" t="s">
        <v>64</v>
      </c>
      <c r="AD728" s="12" t="s">
        <v>64</v>
      </c>
      <c r="AE728" s="17">
        <f t="shared" si="2944"/>
        <v>0</v>
      </c>
      <c r="AF728" s="12" t="s">
        <v>64</v>
      </c>
      <c r="AG728" s="12" t="s">
        <v>64</v>
      </c>
      <c r="AH728" s="12" t="s">
        <v>64</v>
      </c>
      <c r="AO728" s="11">
        <v>8.6679999999999993</v>
      </c>
      <c r="AP728" s="11">
        <v>0</v>
      </c>
      <c r="AQ728" s="11">
        <v>0</v>
      </c>
      <c r="AR728" s="11">
        <v>0</v>
      </c>
      <c r="AS728" s="11">
        <v>0</v>
      </c>
      <c r="AT728" s="11">
        <v>0</v>
      </c>
      <c r="AU728" s="11">
        <v>0</v>
      </c>
      <c r="AV728" s="12">
        <v>0</v>
      </c>
    </row>
    <row r="729" spans="2:48" x14ac:dyDescent="0.2">
      <c r="B729" t="s">
        <v>14</v>
      </c>
      <c r="H729" s="12" t="s">
        <v>64</v>
      </c>
      <c r="I729" s="12" t="s">
        <v>64</v>
      </c>
      <c r="J729" s="12" t="s">
        <v>64</v>
      </c>
      <c r="K729" s="17">
        <f t="shared" si="2945"/>
        <v>0</v>
      </c>
      <c r="L729" s="12" t="s">
        <v>64</v>
      </c>
      <c r="M729" s="12" t="s">
        <v>64</v>
      </c>
      <c r="N729" s="12" t="s">
        <v>64</v>
      </c>
      <c r="O729" s="17">
        <f t="shared" si="2940"/>
        <v>145.858</v>
      </c>
      <c r="P729" s="12" t="s">
        <v>64</v>
      </c>
      <c r="Q729" s="12" t="s">
        <v>64</v>
      </c>
      <c r="R729" s="12" t="s">
        <v>64</v>
      </c>
      <c r="S729" s="17">
        <f t="shared" si="2941"/>
        <v>757.33600000000001</v>
      </c>
      <c r="T729" s="12" t="s">
        <v>64</v>
      </c>
      <c r="U729" s="12" t="s">
        <v>64</v>
      </c>
      <c r="V729" s="12" t="s">
        <v>64</v>
      </c>
      <c r="W729" s="17">
        <f t="shared" si="2942"/>
        <v>1231.002</v>
      </c>
      <c r="X729" s="12" t="s">
        <v>64</v>
      </c>
      <c r="Y729" s="12" t="s">
        <v>64</v>
      </c>
      <c r="Z729" s="12" t="s">
        <v>64</v>
      </c>
      <c r="AA729" s="17">
        <f t="shared" si="2943"/>
        <v>51.655000000000001</v>
      </c>
      <c r="AB729" s="12" t="s">
        <v>64</v>
      </c>
      <c r="AC729" s="12" t="s">
        <v>64</v>
      </c>
      <c r="AD729" s="12" t="s">
        <v>64</v>
      </c>
      <c r="AE729" s="17">
        <f t="shared" si="2944"/>
        <v>43.987000000000002</v>
      </c>
      <c r="AF729" s="12" t="s">
        <v>64</v>
      </c>
      <c r="AG729" s="12" t="s">
        <v>64</v>
      </c>
      <c r="AH729" s="12" t="s">
        <v>64</v>
      </c>
      <c r="AO729" s="11">
        <v>0</v>
      </c>
      <c r="AP729" s="11">
        <v>0</v>
      </c>
      <c r="AQ729" s="11">
        <v>0</v>
      </c>
      <c r="AR729" s="11">
        <v>145.858</v>
      </c>
      <c r="AS729" s="11">
        <v>757.33600000000001</v>
      </c>
      <c r="AT729" s="11">
        <v>1231.002</v>
      </c>
      <c r="AU729" s="11">
        <v>51.655000000000001</v>
      </c>
      <c r="AV729" s="12">
        <v>43.987000000000002</v>
      </c>
    </row>
    <row r="730" spans="2:48" x14ac:dyDescent="0.2">
      <c r="B730" t="s">
        <v>124</v>
      </c>
      <c r="H730" s="12" t="s">
        <v>64</v>
      </c>
      <c r="I730" s="12" t="s">
        <v>64</v>
      </c>
      <c r="J730" s="12" t="s">
        <v>64</v>
      </c>
      <c r="K730" s="17">
        <f t="shared" si="2945"/>
        <v>0</v>
      </c>
      <c r="L730" s="12" t="s">
        <v>64</v>
      </c>
      <c r="M730" s="12" t="s">
        <v>64</v>
      </c>
      <c r="N730" s="12" t="s">
        <v>64</v>
      </c>
      <c r="O730" s="17">
        <f t="shared" si="2940"/>
        <v>11.782</v>
      </c>
      <c r="P730" s="12" t="s">
        <v>64</v>
      </c>
      <c r="Q730" s="12" t="s">
        <v>64</v>
      </c>
      <c r="R730" s="12" t="s">
        <v>64</v>
      </c>
      <c r="S730" s="17">
        <f t="shared" si="2941"/>
        <v>43.433999999999997</v>
      </c>
      <c r="T730" s="12" t="s">
        <v>64</v>
      </c>
      <c r="U730" s="12" t="s">
        <v>64</v>
      </c>
      <c r="V730" s="12" t="s">
        <v>64</v>
      </c>
      <c r="W730" s="17">
        <f t="shared" si="2942"/>
        <v>49.3</v>
      </c>
      <c r="X730" s="12" t="s">
        <v>64</v>
      </c>
      <c r="Y730" s="12" t="s">
        <v>64</v>
      </c>
      <c r="Z730" s="12" t="s">
        <v>64</v>
      </c>
      <c r="AA730" s="17">
        <f t="shared" si="2943"/>
        <v>118.384</v>
      </c>
      <c r="AB730" s="12" t="s">
        <v>64</v>
      </c>
      <c r="AC730" s="12" t="s">
        <v>64</v>
      </c>
      <c r="AD730" s="12" t="s">
        <v>64</v>
      </c>
      <c r="AE730" s="17">
        <f t="shared" si="2944"/>
        <v>265.15899999999999</v>
      </c>
      <c r="AF730" s="12" t="s">
        <v>64</v>
      </c>
      <c r="AG730" s="12" t="s">
        <v>64</v>
      </c>
      <c r="AH730" s="12" t="s">
        <v>64</v>
      </c>
      <c r="AO730" s="11">
        <v>0</v>
      </c>
      <c r="AP730" s="11">
        <v>0</v>
      </c>
      <c r="AQ730" s="11">
        <v>0</v>
      </c>
      <c r="AR730" s="11">
        <v>11.782</v>
      </c>
      <c r="AS730" s="11">
        <v>43.433999999999997</v>
      </c>
      <c r="AT730" s="11">
        <v>49.3</v>
      </c>
      <c r="AU730" s="11">
        <v>118.384</v>
      </c>
      <c r="AV730" s="12">
        <v>265.15899999999999</v>
      </c>
    </row>
    <row r="731" spans="2:48" x14ac:dyDescent="0.2">
      <c r="B731" t="s">
        <v>13</v>
      </c>
      <c r="H731" s="12" t="s">
        <v>64</v>
      </c>
      <c r="I731" s="12" t="s">
        <v>64</v>
      </c>
      <c r="J731" s="12" t="s">
        <v>64</v>
      </c>
      <c r="K731" s="17">
        <f t="shared" si="2945"/>
        <v>-78.266999999999996</v>
      </c>
      <c r="L731" s="12" t="s">
        <v>64</v>
      </c>
      <c r="M731" s="12" t="s">
        <v>64</v>
      </c>
      <c r="N731" s="12" t="s">
        <v>64</v>
      </c>
      <c r="O731" s="17">
        <f t="shared" si="2940"/>
        <v>-209.58</v>
      </c>
      <c r="P731" s="12" t="s">
        <v>64</v>
      </c>
      <c r="Q731" s="12" t="s">
        <v>64</v>
      </c>
      <c r="R731" s="12" t="s">
        <v>64</v>
      </c>
      <c r="S731" s="17">
        <f t="shared" si="2941"/>
        <v>-469.48599999999999</v>
      </c>
      <c r="T731" s="12" t="s">
        <v>64</v>
      </c>
      <c r="U731" s="12" t="s">
        <v>64</v>
      </c>
      <c r="V731" s="12" t="s">
        <v>64</v>
      </c>
      <c r="W731" s="17">
        <f t="shared" si="2942"/>
        <v>-146.97200000000001</v>
      </c>
      <c r="X731" s="12" t="s">
        <v>64</v>
      </c>
      <c r="Y731" s="12" t="s">
        <v>64</v>
      </c>
      <c r="Z731" s="12" t="s">
        <v>64</v>
      </c>
      <c r="AA731" s="17">
        <f t="shared" si="2943"/>
        <v>-606.447</v>
      </c>
      <c r="AB731" s="12" t="s">
        <v>64</v>
      </c>
      <c r="AC731" s="12" t="s">
        <v>64</v>
      </c>
      <c r="AD731" s="12" t="s">
        <v>64</v>
      </c>
      <c r="AE731" s="17">
        <f t="shared" si="2944"/>
        <v>-1354.7850000000001</v>
      </c>
      <c r="AF731" s="12" t="s">
        <v>64</v>
      </c>
      <c r="AG731" s="12" t="s">
        <v>64</v>
      </c>
      <c r="AH731" s="12" t="s">
        <v>64</v>
      </c>
      <c r="AO731" s="11">
        <v>0</v>
      </c>
      <c r="AP731" s="11">
        <v>-2.573</v>
      </c>
      <c r="AQ731" s="11">
        <v>-78.266999999999996</v>
      </c>
      <c r="AR731" s="11">
        <v>-209.58</v>
      </c>
      <c r="AS731" s="11">
        <v>-469.48599999999999</v>
      </c>
      <c r="AT731" s="11">
        <v>-146.97200000000001</v>
      </c>
      <c r="AU731" s="11">
        <v>-606.447</v>
      </c>
      <c r="AV731" s="12">
        <v>-1354.7850000000001</v>
      </c>
    </row>
    <row r="732" spans="2:48" x14ac:dyDescent="0.2">
      <c r="B732" t="s">
        <v>125</v>
      </c>
      <c r="H732" s="12" t="s">
        <v>64</v>
      </c>
      <c r="I732" s="12" t="s">
        <v>64</v>
      </c>
      <c r="J732" s="12" t="s">
        <v>64</v>
      </c>
      <c r="K732" s="17">
        <f t="shared" si="2945"/>
        <v>1.2999999999999999E-2</v>
      </c>
      <c r="L732" s="12" t="s">
        <v>64</v>
      </c>
      <c r="M732" s="12" t="s">
        <v>64</v>
      </c>
      <c r="N732" s="12" t="s">
        <v>64</v>
      </c>
      <c r="O732" s="17">
        <f t="shared" si="2940"/>
        <v>0.17499999999999999</v>
      </c>
      <c r="P732" s="12" t="s">
        <v>64</v>
      </c>
      <c r="Q732" s="12" t="s">
        <v>64</v>
      </c>
      <c r="R732" s="12" t="s">
        <v>64</v>
      </c>
      <c r="S732" s="17">
        <f t="shared" si="2941"/>
        <v>2.4E-2</v>
      </c>
      <c r="T732" s="12" t="s">
        <v>64</v>
      </c>
      <c r="U732" s="12" t="s">
        <v>64</v>
      </c>
      <c r="V732" s="12" t="s">
        <v>64</v>
      </c>
      <c r="W732" s="17">
        <f t="shared" si="2942"/>
        <v>-0.25800000000000001</v>
      </c>
      <c r="X732" s="12" t="s">
        <v>64</v>
      </c>
      <c r="Y732" s="12" t="s">
        <v>64</v>
      </c>
      <c r="Z732" s="12" t="s">
        <v>64</v>
      </c>
      <c r="AA732" s="17">
        <f t="shared" si="2943"/>
        <v>10.696999999999999</v>
      </c>
      <c r="AB732" s="12" t="s">
        <v>64</v>
      </c>
      <c r="AC732" s="12" t="s">
        <v>64</v>
      </c>
      <c r="AD732" s="12" t="s">
        <v>64</v>
      </c>
      <c r="AE732" s="17">
        <f t="shared" si="2944"/>
        <v>1.7549999999999999</v>
      </c>
      <c r="AF732" s="12" t="s">
        <v>64</v>
      </c>
      <c r="AG732" s="12" t="s">
        <v>64</v>
      </c>
      <c r="AH732" s="12" t="s">
        <v>64</v>
      </c>
      <c r="AO732" s="11">
        <v>0</v>
      </c>
      <c r="AP732" s="11">
        <v>6.4000000000000001E-2</v>
      </c>
      <c r="AQ732" s="11">
        <v>1.2999999999999999E-2</v>
      </c>
      <c r="AR732" s="11">
        <v>0.17499999999999999</v>
      </c>
      <c r="AS732" s="11">
        <v>2.4E-2</v>
      </c>
      <c r="AT732" s="11">
        <v>-0.25800000000000001</v>
      </c>
      <c r="AU732" s="11">
        <v>10.696999999999999</v>
      </c>
      <c r="AV732" s="12">
        <v>1.7549999999999999</v>
      </c>
    </row>
    <row r="733" spans="2:48" x14ac:dyDescent="0.2">
      <c r="B733" t="s">
        <v>126</v>
      </c>
      <c r="H733" s="12" t="s">
        <v>64</v>
      </c>
      <c r="I733" s="12" t="s">
        <v>64</v>
      </c>
      <c r="J733" s="12" t="s">
        <v>64</v>
      </c>
      <c r="K733" s="17">
        <f t="shared" si="2945"/>
        <v>0</v>
      </c>
      <c r="L733" s="12" t="s">
        <v>64</v>
      </c>
      <c r="M733" s="12" t="s">
        <v>64</v>
      </c>
      <c r="N733" s="12" t="s">
        <v>64</v>
      </c>
      <c r="O733" s="17">
        <f t="shared" si="2940"/>
        <v>0</v>
      </c>
      <c r="P733" s="12" t="s">
        <v>64</v>
      </c>
      <c r="Q733" s="12" t="s">
        <v>64</v>
      </c>
      <c r="R733" s="12" t="s">
        <v>64</v>
      </c>
      <c r="S733" s="17">
        <f t="shared" si="2941"/>
        <v>0</v>
      </c>
      <c r="T733" s="12" t="s">
        <v>64</v>
      </c>
      <c r="U733" s="12" t="s">
        <v>64</v>
      </c>
      <c r="V733" s="12" t="s">
        <v>64</v>
      </c>
      <c r="W733" s="17">
        <f t="shared" si="2942"/>
        <v>-0.21299999999999999</v>
      </c>
      <c r="X733" s="12" t="s">
        <v>64</v>
      </c>
      <c r="Y733" s="12" t="s">
        <v>64</v>
      </c>
      <c r="Z733" s="12" t="s">
        <v>64</v>
      </c>
      <c r="AA733" s="17">
        <f t="shared" si="2943"/>
        <v>-1028.586</v>
      </c>
      <c r="AB733" s="12" t="s">
        <v>64</v>
      </c>
      <c r="AC733" s="12" t="s">
        <v>64</v>
      </c>
      <c r="AD733" s="12" t="s">
        <v>64</v>
      </c>
      <c r="AE733" s="17">
        <f t="shared" si="2944"/>
        <v>801.1</v>
      </c>
      <c r="AF733" s="12" t="s">
        <v>64</v>
      </c>
      <c r="AG733" s="12" t="s">
        <v>64</v>
      </c>
      <c r="AH733" s="12" t="s">
        <v>64</v>
      </c>
      <c r="AO733" s="11">
        <v>0</v>
      </c>
      <c r="AP733" s="11">
        <v>0</v>
      </c>
      <c r="AQ733" s="11">
        <v>0</v>
      </c>
      <c r="AR733" s="11">
        <v>0</v>
      </c>
      <c r="AS733" s="11">
        <v>0</v>
      </c>
      <c r="AT733" s="11">
        <v>-0.21299999999999999</v>
      </c>
      <c r="AU733" s="11">
        <v>-1028.586</v>
      </c>
      <c r="AV733" s="12">
        <v>801.1</v>
      </c>
    </row>
    <row r="734" spans="2:48" x14ac:dyDescent="0.2">
      <c r="B734" t="s">
        <v>127</v>
      </c>
      <c r="H734" s="12" t="s">
        <v>64</v>
      </c>
      <c r="I734" s="12" t="s">
        <v>64</v>
      </c>
      <c r="J734" s="12" t="s">
        <v>64</v>
      </c>
      <c r="K734" s="17">
        <f t="shared" si="2945"/>
        <v>0</v>
      </c>
      <c r="L734" s="12" t="s">
        <v>64</v>
      </c>
      <c r="M734" s="12" t="s">
        <v>64</v>
      </c>
      <c r="N734" s="12" t="s">
        <v>64</v>
      </c>
      <c r="O734" s="17">
        <f t="shared" si="2940"/>
        <v>-5.38</v>
      </c>
      <c r="P734" s="12" t="s">
        <v>64</v>
      </c>
      <c r="Q734" s="12" t="s">
        <v>64</v>
      </c>
      <c r="R734" s="12" t="s">
        <v>64</v>
      </c>
      <c r="S734" s="17">
        <f t="shared" si="2941"/>
        <v>-225.197</v>
      </c>
      <c r="T734" s="12" t="s">
        <v>64</v>
      </c>
      <c r="U734" s="12" t="s">
        <v>64</v>
      </c>
      <c r="V734" s="12" t="s">
        <v>64</v>
      </c>
      <c r="W734" s="17">
        <f t="shared" si="2942"/>
        <v>-71.75</v>
      </c>
      <c r="X734" s="12" t="s">
        <v>64</v>
      </c>
      <c r="Y734" s="12" t="s">
        <v>64</v>
      </c>
      <c r="Z734" s="12" t="s">
        <v>64</v>
      </c>
      <c r="AA734" s="17">
        <f t="shared" si="2943"/>
        <v>149.71</v>
      </c>
      <c r="AB734" s="12" t="s">
        <v>64</v>
      </c>
      <c r="AC734" s="12" t="s">
        <v>64</v>
      </c>
      <c r="AD734" s="12" t="s">
        <v>64</v>
      </c>
      <c r="AE734" s="17">
        <f t="shared" si="2944"/>
        <v>-35.720999999999997</v>
      </c>
      <c r="AF734" s="12" t="s">
        <v>64</v>
      </c>
      <c r="AG734" s="12" t="s">
        <v>64</v>
      </c>
      <c r="AH734" s="12" t="s">
        <v>64</v>
      </c>
      <c r="AO734" s="11">
        <v>0</v>
      </c>
      <c r="AP734" s="11">
        <v>0</v>
      </c>
      <c r="AQ734" s="11">
        <v>0</v>
      </c>
      <c r="AR734" s="11">
        <v>-5.38</v>
      </c>
      <c r="AS734" s="11">
        <v>-225.197</v>
      </c>
      <c r="AT734" s="11">
        <v>-71.75</v>
      </c>
      <c r="AU734" s="11">
        <v>149.71</v>
      </c>
      <c r="AV734" s="12">
        <v>-35.720999999999997</v>
      </c>
    </row>
    <row r="735" spans="2:48" x14ac:dyDescent="0.2">
      <c r="B735" t="s">
        <v>128</v>
      </c>
      <c r="H735" s="12" t="s">
        <v>64</v>
      </c>
      <c r="I735" s="12" t="s">
        <v>64</v>
      </c>
      <c r="J735" s="12" t="s">
        <v>64</v>
      </c>
      <c r="K735" s="17">
        <f t="shared" si="2945"/>
        <v>0</v>
      </c>
      <c r="L735" s="12" t="s">
        <v>64</v>
      </c>
      <c r="M735" s="12" t="s">
        <v>64</v>
      </c>
      <c r="N735" s="12" t="s">
        <v>64</v>
      </c>
      <c r="O735" s="17">
        <f t="shared" si="2940"/>
        <v>-28.675999999999998</v>
      </c>
      <c r="P735" s="12" t="s">
        <v>64</v>
      </c>
      <c r="Q735" s="12" t="s">
        <v>64</v>
      </c>
      <c r="R735" s="12" t="s">
        <v>64</v>
      </c>
      <c r="S735" s="17">
        <f t="shared" si="2941"/>
        <v>-83.653999999999996</v>
      </c>
      <c r="T735" s="12" t="s">
        <v>64</v>
      </c>
      <c r="U735" s="12" t="s">
        <v>64</v>
      </c>
      <c r="V735" s="12" t="s">
        <v>64</v>
      </c>
      <c r="W735" s="17">
        <f t="shared" si="2942"/>
        <v>-246.828</v>
      </c>
      <c r="X735" s="12" t="s">
        <v>64</v>
      </c>
      <c r="Y735" s="12" t="s">
        <v>64</v>
      </c>
      <c r="Z735" s="12" t="s">
        <v>64</v>
      </c>
      <c r="AA735" s="17">
        <f t="shared" si="2943"/>
        <v>155.285</v>
      </c>
      <c r="AB735" s="12" t="s">
        <v>64</v>
      </c>
      <c r="AC735" s="12" t="s">
        <v>64</v>
      </c>
      <c r="AD735" s="12" t="s">
        <v>64</v>
      </c>
      <c r="AE735" s="17">
        <f t="shared" si="2944"/>
        <v>4.7069999999999999</v>
      </c>
      <c r="AF735" s="12" t="s">
        <v>64</v>
      </c>
      <c r="AG735" s="12" t="s">
        <v>64</v>
      </c>
      <c r="AH735" s="12" t="s">
        <v>64</v>
      </c>
      <c r="AO735" s="11">
        <v>0</v>
      </c>
      <c r="AP735" s="11">
        <v>0</v>
      </c>
      <c r="AQ735" s="11">
        <v>0</v>
      </c>
      <c r="AR735" s="11">
        <v>-28.675999999999998</v>
      </c>
      <c r="AS735" s="11">
        <v>-83.653999999999996</v>
      </c>
      <c r="AT735" s="11">
        <v>-246.828</v>
      </c>
      <c r="AU735" s="11">
        <v>155.285</v>
      </c>
      <c r="AV735" s="12">
        <v>4.7069999999999999</v>
      </c>
    </row>
    <row r="736" spans="2:48" x14ac:dyDescent="0.2">
      <c r="B736" t="s">
        <v>129</v>
      </c>
      <c r="H736" s="12" t="s">
        <v>64</v>
      </c>
      <c r="I736" s="12" t="s">
        <v>64</v>
      </c>
      <c r="J736" s="12" t="s">
        <v>64</v>
      </c>
      <c r="K736" s="17">
        <f t="shared" si="2945"/>
        <v>0</v>
      </c>
      <c r="L736" s="12" t="s">
        <v>64</v>
      </c>
      <c r="M736" s="12" t="s">
        <v>64</v>
      </c>
      <c r="N736" s="12" t="s">
        <v>64</v>
      </c>
      <c r="O736" s="17">
        <f t="shared" si="2940"/>
        <v>0</v>
      </c>
      <c r="P736" s="12" t="s">
        <v>64</v>
      </c>
      <c r="Q736" s="12" t="s">
        <v>64</v>
      </c>
      <c r="R736" s="12" t="s">
        <v>64</v>
      </c>
      <c r="S736" s="17">
        <f t="shared" si="2941"/>
        <v>-104.068</v>
      </c>
      <c r="T736" s="12" t="s">
        <v>64</v>
      </c>
      <c r="U736" s="12" t="s">
        <v>64</v>
      </c>
      <c r="V736" s="12" t="s">
        <v>64</v>
      </c>
      <c r="W736" s="17">
        <f t="shared" si="2942"/>
        <v>22.17</v>
      </c>
      <c r="X736" s="12" t="s">
        <v>64</v>
      </c>
      <c r="Y736" s="12" t="s">
        <v>64</v>
      </c>
      <c r="Z736" s="12" t="s">
        <v>64</v>
      </c>
      <c r="AA736" s="17">
        <f t="shared" si="2943"/>
        <v>242.23599999999999</v>
      </c>
      <c r="AB736" s="12" t="s">
        <v>64</v>
      </c>
      <c r="AC736" s="12" t="s">
        <v>64</v>
      </c>
      <c r="AD736" s="12" t="s">
        <v>64</v>
      </c>
      <c r="AE736" s="17">
        <f t="shared" si="2944"/>
        <v>-1013.475</v>
      </c>
      <c r="AF736" s="12" t="s">
        <v>64</v>
      </c>
      <c r="AG736" s="12" t="s">
        <v>64</v>
      </c>
      <c r="AH736" s="12" t="s">
        <v>64</v>
      </c>
      <c r="AO736" s="11">
        <v>0</v>
      </c>
      <c r="AP736" s="11">
        <v>0</v>
      </c>
      <c r="AQ736" s="11">
        <v>0</v>
      </c>
      <c r="AR736" s="11">
        <v>0</v>
      </c>
      <c r="AS736" s="11">
        <v>-104.068</v>
      </c>
      <c r="AT736" s="11">
        <v>22.17</v>
      </c>
      <c r="AU736" s="11">
        <v>242.23599999999999</v>
      </c>
      <c r="AV736" s="12">
        <v>-1013.475</v>
      </c>
    </row>
    <row r="737" spans="2:48" x14ac:dyDescent="0.2">
      <c r="B737" t="s">
        <v>130</v>
      </c>
      <c r="H737" s="12" t="s">
        <v>64</v>
      </c>
      <c r="I737" s="12" t="s">
        <v>64</v>
      </c>
      <c r="J737" s="12" t="s">
        <v>64</v>
      </c>
      <c r="K737" s="17">
        <f t="shared" si="2945"/>
        <v>0</v>
      </c>
      <c r="L737" s="12" t="s">
        <v>64</v>
      </c>
      <c r="M737" s="12" t="s">
        <v>64</v>
      </c>
      <c r="N737" s="12" t="s">
        <v>64</v>
      </c>
      <c r="O737" s="17">
        <f t="shared" si="2940"/>
        <v>0</v>
      </c>
      <c r="P737" s="12" t="s">
        <v>64</v>
      </c>
      <c r="Q737" s="12" t="s">
        <v>64</v>
      </c>
      <c r="R737" s="12" t="s">
        <v>64</v>
      </c>
      <c r="S737" s="17">
        <f t="shared" si="2941"/>
        <v>-5.1879999999999997</v>
      </c>
      <c r="T737" s="12" t="s">
        <v>64</v>
      </c>
      <c r="U737" s="12" t="s">
        <v>64</v>
      </c>
      <c r="V737" s="12" t="s">
        <v>64</v>
      </c>
      <c r="W737" s="17">
        <f t="shared" si="2942"/>
        <v>-2.7879999999999998</v>
      </c>
      <c r="X737" s="12" t="s">
        <v>64</v>
      </c>
      <c r="Y737" s="12" t="s">
        <v>64</v>
      </c>
      <c r="Z737" s="12" t="s">
        <v>64</v>
      </c>
      <c r="AA737" s="17">
        <f t="shared" si="2943"/>
        <v>0</v>
      </c>
      <c r="AB737" s="12" t="s">
        <v>64</v>
      </c>
      <c r="AC737" s="12" t="s">
        <v>64</v>
      </c>
      <c r="AD737" s="12" t="s">
        <v>64</v>
      </c>
      <c r="AE737" s="17">
        <f t="shared" si="2944"/>
        <v>0</v>
      </c>
      <c r="AF737" s="12" t="s">
        <v>64</v>
      </c>
      <c r="AG737" s="12" t="s">
        <v>64</v>
      </c>
      <c r="AH737" s="12" t="s">
        <v>64</v>
      </c>
      <c r="AO737" s="11">
        <v>0</v>
      </c>
      <c r="AP737" s="11">
        <v>0</v>
      </c>
      <c r="AQ737" s="11">
        <v>0</v>
      </c>
      <c r="AR737" s="11">
        <v>0</v>
      </c>
      <c r="AS737" s="11">
        <v>-5.1879999999999997</v>
      </c>
      <c r="AT737" s="11">
        <v>-2.7879999999999998</v>
      </c>
      <c r="AU737" s="11">
        <v>0</v>
      </c>
      <c r="AV737" s="12">
        <v>0</v>
      </c>
    </row>
    <row r="738" spans="2:48" x14ac:dyDescent="0.2">
      <c r="B738" t="s">
        <v>76</v>
      </c>
      <c r="H738" s="12" t="s">
        <v>64</v>
      </c>
      <c r="I738" s="12" t="s">
        <v>64</v>
      </c>
      <c r="J738" s="12" t="s">
        <v>64</v>
      </c>
      <c r="K738" s="17">
        <f t="shared" si="2945"/>
        <v>6841.5730000000003</v>
      </c>
      <c r="L738" s="12" t="s">
        <v>64</v>
      </c>
      <c r="M738" s="12" t="s">
        <v>64</v>
      </c>
      <c r="N738" s="12" t="s">
        <v>64</v>
      </c>
      <c r="O738" s="17">
        <f t="shared" si="2940"/>
        <v>2557.7060000000001</v>
      </c>
      <c r="P738" s="12" t="s">
        <v>64</v>
      </c>
      <c r="Q738" s="12" t="s">
        <v>64</v>
      </c>
      <c r="R738" s="12" t="s">
        <v>64</v>
      </c>
      <c r="S738" s="17">
        <f t="shared" si="2941"/>
        <v>3613.0430000000001</v>
      </c>
      <c r="T738" s="12" t="s">
        <v>64</v>
      </c>
      <c r="U738" s="12" t="s">
        <v>64</v>
      </c>
      <c r="V738" s="12" t="s">
        <v>64</v>
      </c>
      <c r="W738" s="17">
        <f t="shared" si="2942"/>
        <v>4774.7299999999996</v>
      </c>
      <c r="X738" s="12" t="s">
        <v>64</v>
      </c>
      <c r="Y738" s="12" t="s">
        <v>64</v>
      </c>
      <c r="Z738" s="12" t="s">
        <v>64</v>
      </c>
      <c r="AA738" s="17">
        <f t="shared" si="2943"/>
        <v>7718.3649999999998</v>
      </c>
      <c r="AB738" s="12" t="s">
        <v>64</v>
      </c>
      <c r="AC738" s="12" t="s">
        <v>64</v>
      </c>
      <c r="AD738" s="12" t="s">
        <v>64</v>
      </c>
      <c r="AE738" s="17">
        <f t="shared" si="2944"/>
        <v>7078.7939999999999</v>
      </c>
      <c r="AF738" s="12" t="s">
        <v>64</v>
      </c>
      <c r="AG738" s="12" t="s">
        <v>64</v>
      </c>
      <c r="AH738" s="12" t="s">
        <v>64</v>
      </c>
      <c r="AO738" s="11">
        <v>4.0640000000000001</v>
      </c>
      <c r="AP738" s="11">
        <v>13.38</v>
      </c>
      <c r="AQ738" s="11">
        <v>6841.5730000000003</v>
      </c>
      <c r="AR738" s="11">
        <v>2557.7060000000001</v>
      </c>
      <c r="AS738" s="11">
        <v>3613.0430000000001</v>
      </c>
      <c r="AT738" s="11">
        <v>4774.7299999999996</v>
      </c>
      <c r="AU738" s="11">
        <v>7718.3649999999998</v>
      </c>
      <c r="AV738" s="12">
        <v>7078.7939999999999</v>
      </c>
    </row>
    <row r="739" spans="2:48" x14ac:dyDescent="0.2">
      <c r="B739" t="s">
        <v>171</v>
      </c>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O739" s="14"/>
      <c r="AP739" s="14"/>
      <c r="AQ739" s="14"/>
      <c r="AR739" s="14"/>
      <c r="AS739" s="14"/>
      <c r="AT739" s="14"/>
      <c r="AU739" s="14"/>
      <c r="AV739" s="14"/>
    </row>
    <row r="740" spans="2:48" x14ac:dyDescent="0.2">
      <c r="B740" s="4" t="s">
        <v>131</v>
      </c>
      <c r="H740" s="12" t="s">
        <v>64</v>
      </c>
      <c r="I740" s="12" t="s">
        <v>64</v>
      </c>
      <c r="J740" s="12" t="s">
        <v>64</v>
      </c>
      <c r="K740" s="17">
        <f t="shared" si="2945"/>
        <v>0</v>
      </c>
      <c r="L740" s="12" t="s">
        <v>64</v>
      </c>
      <c r="M740" s="12" t="s">
        <v>64</v>
      </c>
      <c r="N740" s="12" t="s">
        <v>64</v>
      </c>
      <c r="O740" s="17">
        <f t="shared" ref="O740:O754" si="2946">+AR740</f>
        <v>0</v>
      </c>
      <c r="P740" s="12" t="s">
        <v>64</v>
      </c>
      <c r="Q740" s="12" t="s">
        <v>64</v>
      </c>
      <c r="R740" s="12" t="s">
        <v>64</v>
      </c>
      <c r="S740" s="17">
        <f t="shared" ref="S740:S754" si="2947">+AS740</f>
        <v>0</v>
      </c>
      <c r="T740" s="12" t="s">
        <v>64</v>
      </c>
      <c r="U740" s="12" t="s">
        <v>64</v>
      </c>
      <c r="V740" s="12" t="s">
        <v>64</v>
      </c>
      <c r="W740" s="17">
        <f t="shared" ref="W740:W754" si="2948">+AT740</f>
        <v>0</v>
      </c>
      <c r="X740" s="12" t="s">
        <v>64</v>
      </c>
      <c r="Y740" s="12" t="s">
        <v>64</v>
      </c>
      <c r="Z740" s="12" t="s">
        <v>64</v>
      </c>
      <c r="AA740" s="17">
        <f t="shared" ref="AA740:AA754" si="2949">+AU740</f>
        <v>0</v>
      </c>
      <c r="AB740" s="12" t="s">
        <v>64</v>
      </c>
      <c r="AC740" s="12" t="s">
        <v>64</v>
      </c>
      <c r="AD740" s="12" t="s">
        <v>64</v>
      </c>
      <c r="AE740" s="17">
        <f t="shared" ref="AE740:AE754" si="2950">+AV740</f>
        <v>0</v>
      </c>
      <c r="AF740" s="12" t="s">
        <v>64</v>
      </c>
      <c r="AG740" s="12" t="s">
        <v>64</v>
      </c>
      <c r="AH740" s="12" t="s">
        <v>64</v>
      </c>
      <c r="AO740" s="11">
        <v>0</v>
      </c>
      <c r="AP740" s="11">
        <v>-9370.8490000000002</v>
      </c>
      <c r="AQ740" s="11">
        <v>0</v>
      </c>
      <c r="AR740" s="11">
        <v>0</v>
      </c>
      <c r="AS740" s="11">
        <v>0</v>
      </c>
      <c r="AT740" s="11">
        <v>0</v>
      </c>
      <c r="AU740" s="11">
        <v>0</v>
      </c>
      <c r="AV740" s="12">
        <v>0</v>
      </c>
    </row>
    <row r="741" spans="2:48" x14ac:dyDescent="0.2">
      <c r="B741" s="4" t="s">
        <v>132</v>
      </c>
      <c r="H741" s="12" t="s">
        <v>64</v>
      </c>
      <c r="I741" s="12" t="s">
        <v>64</v>
      </c>
      <c r="J741" s="12" t="s">
        <v>64</v>
      </c>
      <c r="K741" s="17">
        <f t="shared" si="2945"/>
        <v>-159.41300000000001</v>
      </c>
      <c r="L741" s="12" t="s">
        <v>64</v>
      </c>
      <c r="M741" s="12" t="s">
        <v>64</v>
      </c>
      <c r="N741" s="12" t="s">
        <v>64</v>
      </c>
      <c r="O741" s="17">
        <f t="shared" si="2946"/>
        <v>-803.38800000000003</v>
      </c>
      <c r="P741" s="12" t="s">
        <v>64</v>
      </c>
      <c r="Q741" s="12" t="s">
        <v>64</v>
      </c>
      <c r="R741" s="12" t="s">
        <v>64</v>
      </c>
      <c r="S741" s="17">
        <f t="shared" si="2947"/>
        <v>321.42599999999999</v>
      </c>
      <c r="T741" s="12" t="s">
        <v>64</v>
      </c>
      <c r="U741" s="12" t="s">
        <v>64</v>
      </c>
      <c r="V741" s="12" t="s">
        <v>64</v>
      </c>
      <c r="W741" s="17">
        <f t="shared" si="2948"/>
        <v>55.811</v>
      </c>
      <c r="X741" s="12" t="s">
        <v>64</v>
      </c>
      <c r="Y741" s="12" t="s">
        <v>64</v>
      </c>
      <c r="Z741" s="12" t="s">
        <v>64</v>
      </c>
      <c r="AA741" s="17">
        <f t="shared" si="2949"/>
        <v>86.040999999999997</v>
      </c>
      <c r="AB741" s="12" t="s">
        <v>64</v>
      </c>
      <c r="AC741" s="12" t="s">
        <v>64</v>
      </c>
      <c r="AD741" s="12" t="s">
        <v>64</v>
      </c>
      <c r="AE741" s="17">
        <f t="shared" si="2950"/>
        <v>-3326.4209999999998</v>
      </c>
      <c r="AF741" s="12" t="s">
        <v>64</v>
      </c>
      <c r="AG741" s="12" t="s">
        <v>64</v>
      </c>
      <c r="AH741" s="12" t="s">
        <v>64</v>
      </c>
      <c r="AO741" s="11">
        <v>-8.3160000000000007</v>
      </c>
      <c r="AP741" s="11">
        <v>-77.891000000000005</v>
      </c>
      <c r="AQ741" s="11">
        <v>-159.41300000000001</v>
      </c>
      <c r="AR741" s="11">
        <v>-803.38800000000003</v>
      </c>
      <c r="AS741" s="11">
        <v>321.42599999999999</v>
      </c>
      <c r="AT741" s="11">
        <v>55.811</v>
      </c>
      <c r="AU741" s="11">
        <v>86.040999999999997</v>
      </c>
      <c r="AV741" s="12">
        <v>-3326.4209999999998</v>
      </c>
    </row>
    <row r="742" spans="2:48" x14ac:dyDescent="0.2">
      <c r="B742" s="4" t="s">
        <v>133</v>
      </c>
      <c r="H742" s="12" t="s">
        <v>64</v>
      </c>
      <c r="I742" s="12" t="s">
        <v>64</v>
      </c>
      <c r="J742" s="12" t="s">
        <v>64</v>
      </c>
      <c r="K742" s="17">
        <f t="shared" si="2945"/>
        <v>-576.12099999999998</v>
      </c>
      <c r="L742" s="12" t="s">
        <v>64</v>
      </c>
      <c r="M742" s="12" t="s">
        <v>64</v>
      </c>
      <c r="N742" s="12" t="s">
        <v>64</v>
      </c>
      <c r="O742" s="17">
        <f t="shared" si="2946"/>
        <v>-886.86300000000006</v>
      </c>
      <c r="P742" s="12" t="s">
        <v>64</v>
      </c>
      <c r="Q742" s="12" t="s">
        <v>64</v>
      </c>
      <c r="R742" s="12" t="s">
        <v>64</v>
      </c>
      <c r="S742" s="17">
        <f t="shared" si="2947"/>
        <v>-1636.5409999999999</v>
      </c>
      <c r="T742" s="12" t="s">
        <v>64</v>
      </c>
      <c r="U742" s="12" t="s">
        <v>64</v>
      </c>
      <c r="V742" s="12" t="s">
        <v>64</v>
      </c>
      <c r="W742" s="17">
        <f t="shared" si="2948"/>
        <v>-10.086</v>
      </c>
      <c r="X742" s="12" t="s">
        <v>64</v>
      </c>
      <c r="Y742" s="12" t="s">
        <v>64</v>
      </c>
      <c r="Z742" s="12" t="s">
        <v>64</v>
      </c>
      <c r="AA742" s="17">
        <f t="shared" si="2949"/>
        <v>-2068.6750000000002</v>
      </c>
      <c r="AB742" s="12" t="s">
        <v>64</v>
      </c>
      <c r="AC742" s="12" t="s">
        <v>64</v>
      </c>
      <c r="AD742" s="12" t="s">
        <v>64</v>
      </c>
      <c r="AE742" s="17">
        <f t="shared" si="2950"/>
        <v>-1096.24</v>
      </c>
      <c r="AF742" s="12" t="s">
        <v>64</v>
      </c>
      <c r="AG742" s="12" t="s">
        <v>64</v>
      </c>
      <c r="AH742" s="12" t="s">
        <v>64</v>
      </c>
      <c r="AO742" s="11">
        <v>-2.7480000000000002</v>
      </c>
      <c r="AP742" s="11">
        <v>-350.26499999999999</v>
      </c>
      <c r="AQ742" s="11">
        <v>-576.12099999999998</v>
      </c>
      <c r="AR742" s="11">
        <v>-886.86300000000006</v>
      </c>
      <c r="AS742" s="11">
        <v>-1636.5409999999999</v>
      </c>
      <c r="AT742" s="11">
        <v>-10.086</v>
      </c>
      <c r="AU742" s="11">
        <v>-2068.6750000000002</v>
      </c>
      <c r="AV742" s="12">
        <v>-1096.24</v>
      </c>
    </row>
    <row r="743" spans="2:48" x14ac:dyDescent="0.2">
      <c r="B743" s="4" t="s">
        <v>134</v>
      </c>
      <c r="H743" s="12" t="s">
        <v>64</v>
      </c>
      <c r="I743" s="12" t="s">
        <v>64</v>
      </c>
      <c r="J743" s="12" t="s">
        <v>64</v>
      </c>
      <c r="K743" s="17">
        <f t="shared" si="2945"/>
        <v>-788.577</v>
      </c>
      <c r="L743" s="12" t="s">
        <v>64</v>
      </c>
      <c r="M743" s="12" t="s">
        <v>64</v>
      </c>
      <c r="N743" s="12" t="s">
        <v>64</v>
      </c>
      <c r="O743" s="17">
        <f t="shared" si="2946"/>
        <v>12.449</v>
      </c>
      <c r="P743" s="12" t="s">
        <v>64</v>
      </c>
      <c r="Q743" s="12" t="s">
        <v>64</v>
      </c>
      <c r="R743" s="12" t="s">
        <v>64</v>
      </c>
      <c r="S743" s="17">
        <f t="shared" si="2947"/>
        <v>-4048.5360000000001</v>
      </c>
      <c r="T743" s="12" t="s">
        <v>64</v>
      </c>
      <c r="U743" s="12" t="s">
        <v>64</v>
      </c>
      <c r="V743" s="12" t="s">
        <v>64</v>
      </c>
      <c r="W743" s="17">
        <f t="shared" si="2948"/>
        <v>1744.645</v>
      </c>
      <c r="X743" s="12" t="s">
        <v>64</v>
      </c>
      <c r="Y743" s="12" t="s">
        <v>64</v>
      </c>
      <c r="Z743" s="12" t="s">
        <v>64</v>
      </c>
      <c r="AA743" s="17">
        <f t="shared" si="2949"/>
        <v>758.28200000000004</v>
      </c>
      <c r="AB743" s="12" t="s">
        <v>64</v>
      </c>
      <c r="AC743" s="12" t="s">
        <v>64</v>
      </c>
      <c r="AD743" s="12" t="s">
        <v>64</v>
      </c>
      <c r="AE743" s="17">
        <f t="shared" si="2950"/>
        <v>-2121.308</v>
      </c>
      <c r="AF743" s="12" t="s">
        <v>64</v>
      </c>
      <c r="AG743" s="12" t="s">
        <v>64</v>
      </c>
      <c r="AH743" s="12" t="s">
        <v>64</v>
      </c>
      <c r="AO743" s="11">
        <v>98.715000000000003</v>
      </c>
      <c r="AP743" s="11">
        <v>-87.614000000000004</v>
      </c>
      <c r="AQ743" s="11">
        <v>-788.577</v>
      </c>
      <c r="AR743" s="11">
        <v>12.449</v>
      </c>
      <c r="AS743" s="11">
        <v>-4048.5360000000001</v>
      </c>
      <c r="AT743" s="11">
        <v>1744.645</v>
      </c>
      <c r="AU743" s="11">
        <v>758.28200000000004</v>
      </c>
      <c r="AV743" s="12">
        <v>-2121.308</v>
      </c>
    </row>
    <row r="744" spans="2:48" x14ac:dyDescent="0.2">
      <c r="B744" s="4" t="s">
        <v>135</v>
      </c>
      <c r="H744" s="12" t="s">
        <v>64</v>
      </c>
      <c r="I744" s="12" t="s">
        <v>64</v>
      </c>
      <c r="J744" s="12" t="s">
        <v>64</v>
      </c>
      <c r="K744" s="17">
        <f t="shared" si="2945"/>
        <v>402.05599999999998</v>
      </c>
      <c r="L744" s="12" t="s">
        <v>64</v>
      </c>
      <c r="M744" s="12" t="s">
        <v>64</v>
      </c>
      <c r="N744" s="12" t="s">
        <v>64</v>
      </c>
      <c r="O744" s="17">
        <f t="shared" si="2946"/>
        <v>1024.779</v>
      </c>
      <c r="P744" s="12" t="s">
        <v>64</v>
      </c>
      <c r="Q744" s="12" t="s">
        <v>64</v>
      </c>
      <c r="R744" s="12" t="s">
        <v>64</v>
      </c>
      <c r="S744" s="17">
        <f t="shared" si="2947"/>
        <v>1882.971</v>
      </c>
      <c r="T744" s="12" t="s">
        <v>64</v>
      </c>
      <c r="U744" s="12" t="s">
        <v>64</v>
      </c>
      <c r="V744" s="12" t="s">
        <v>64</v>
      </c>
      <c r="W744" s="17">
        <f t="shared" si="2948"/>
        <v>-1422.856</v>
      </c>
      <c r="X744" s="12" t="s">
        <v>64</v>
      </c>
      <c r="Y744" s="12" t="s">
        <v>64</v>
      </c>
      <c r="Z744" s="12" t="s">
        <v>64</v>
      </c>
      <c r="AA744" s="17">
        <f t="shared" si="2949"/>
        <v>-286.61599999999999</v>
      </c>
      <c r="AB744" s="12" t="s">
        <v>64</v>
      </c>
      <c r="AC744" s="12" t="s">
        <v>64</v>
      </c>
      <c r="AD744" s="12" t="s">
        <v>64</v>
      </c>
      <c r="AE744" s="17">
        <f t="shared" si="2950"/>
        <v>-437.61500000000001</v>
      </c>
      <c r="AF744" s="12" t="s">
        <v>64</v>
      </c>
      <c r="AG744" s="12" t="s">
        <v>64</v>
      </c>
      <c r="AH744" s="12" t="s">
        <v>64</v>
      </c>
      <c r="AO744" s="11">
        <v>-42.319000000000003</v>
      </c>
      <c r="AP744" s="11">
        <v>51.081000000000003</v>
      </c>
      <c r="AQ744" s="11">
        <v>402.05599999999998</v>
      </c>
      <c r="AR744" s="11">
        <v>1024.779</v>
      </c>
      <c r="AS744" s="11">
        <v>1882.971</v>
      </c>
      <c r="AT744" s="11">
        <v>-1422.856</v>
      </c>
      <c r="AU744" s="11">
        <v>-286.61599999999999</v>
      </c>
      <c r="AV744" s="12">
        <v>-437.61500000000001</v>
      </c>
    </row>
    <row r="745" spans="2:48" x14ac:dyDescent="0.2">
      <c r="B745" s="4" t="s">
        <v>136</v>
      </c>
      <c r="H745" s="12" t="s">
        <v>64</v>
      </c>
      <c r="I745" s="12" t="s">
        <v>64</v>
      </c>
      <c r="J745" s="12" t="s">
        <v>64</v>
      </c>
      <c r="K745" s="17">
        <f t="shared" si="2945"/>
        <v>135.029</v>
      </c>
      <c r="L745" s="12" t="s">
        <v>64</v>
      </c>
      <c r="M745" s="12" t="s">
        <v>64</v>
      </c>
      <c r="N745" s="12" t="s">
        <v>64</v>
      </c>
      <c r="O745" s="17">
        <f t="shared" si="2946"/>
        <v>414.488</v>
      </c>
      <c r="P745" s="12" t="s">
        <v>64</v>
      </c>
      <c r="Q745" s="12" t="s">
        <v>64</v>
      </c>
      <c r="R745" s="12" t="s">
        <v>64</v>
      </c>
      <c r="S745" s="17">
        <f t="shared" si="2947"/>
        <v>1817.22</v>
      </c>
      <c r="T745" s="12" t="s">
        <v>64</v>
      </c>
      <c r="U745" s="12" t="s">
        <v>64</v>
      </c>
      <c r="V745" s="12" t="s">
        <v>64</v>
      </c>
      <c r="W745" s="17">
        <f t="shared" si="2948"/>
        <v>-1256.4259999999999</v>
      </c>
      <c r="X745" s="12" t="s">
        <v>64</v>
      </c>
      <c r="Y745" s="12" t="s">
        <v>64</v>
      </c>
      <c r="Z745" s="12" t="s">
        <v>64</v>
      </c>
      <c r="AA745" s="17">
        <f t="shared" si="2949"/>
        <v>222.89099999999999</v>
      </c>
      <c r="AB745" s="12" t="s">
        <v>64</v>
      </c>
      <c r="AC745" s="12" t="s">
        <v>64</v>
      </c>
      <c r="AD745" s="12" t="s">
        <v>64</v>
      </c>
      <c r="AE745" s="17">
        <f t="shared" si="2950"/>
        <v>754.95500000000004</v>
      </c>
      <c r="AF745" s="12" t="s">
        <v>64</v>
      </c>
      <c r="AG745" s="12" t="s">
        <v>64</v>
      </c>
      <c r="AH745" s="12" t="s">
        <v>64</v>
      </c>
      <c r="AO745" s="11">
        <v>-102.73099999999999</v>
      </c>
      <c r="AP745" s="11">
        <v>54.298999999999999</v>
      </c>
      <c r="AQ745" s="11">
        <v>135.029</v>
      </c>
      <c r="AR745" s="11">
        <v>414.488</v>
      </c>
      <c r="AS745" s="11">
        <v>1817.22</v>
      </c>
      <c r="AT745" s="11">
        <v>-1256.4259999999999</v>
      </c>
      <c r="AU745" s="11">
        <v>222.89099999999999</v>
      </c>
      <c r="AV745" s="12">
        <v>754.95500000000004</v>
      </c>
    </row>
    <row r="746" spans="2:48" x14ac:dyDescent="0.2">
      <c r="B746" s="4" t="s">
        <v>137</v>
      </c>
      <c r="H746" s="12" t="s">
        <v>64</v>
      </c>
      <c r="I746" s="12" t="s">
        <v>64</v>
      </c>
      <c r="J746" s="12" t="s">
        <v>64</v>
      </c>
      <c r="K746" s="17">
        <f t="shared" si="2945"/>
        <v>7437.415</v>
      </c>
      <c r="L746" s="12" t="s">
        <v>64</v>
      </c>
      <c r="M746" s="12" t="s">
        <v>64</v>
      </c>
      <c r="N746" s="12" t="s">
        <v>64</v>
      </c>
      <c r="O746" s="17">
        <f t="shared" si="2946"/>
        <v>12650.833000000001</v>
      </c>
      <c r="P746" s="12" t="s">
        <v>64</v>
      </c>
      <c r="Q746" s="12" t="s">
        <v>64</v>
      </c>
      <c r="R746" s="12" t="s">
        <v>64</v>
      </c>
      <c r="S746" s="17">
        <f t="shared" si="2947"/>
        <v>23934.151000000002</v>
      </c>
      <c r="T746" s="12" t="s">
        <v>64</v>
      </c>
      <c r="U746" s="12" t="s">
        <v>64</v>
      </c>
      <c r="V746" s="12" t="s">
        <v>64</v>
      </c>
      <c r="W746" s="17">
        <f t="shared" si="2948"/>
        <v>8686.4930000000004</v>
      </c>
      <c r="X746" s="12" t="s">
        <v>64</v>
      </c>
      <c r="Y746" s="12" t="s">
        <v>64</v>
      </c>
      <c r="Z746" s="12" t="s">
        <v>64</v>
      </c>
      <c r="AA746" s="17">
        <f t="shared" si="2949"/>
        <v>749.37300000000005</v>
      </c>
      <c r="AB746" s="12" t="s">
        <v>64</v>
      </c>
      <c r="AC746" s="12" t="s">
        <v>64</v>
      </c>
      <c r="AD746" s="12" t="s">
        <v>64</v>
      </c>
      <c r="AE746" s="17">
        <f t="shared" si="2950"/>
        <v>11623.138000000001</v>
      </c>
      <c r="AF746" s="12" t="s">
        <v>64</v>
      </c>
      <c r="AG746" s="12" t="s">
        <v>64</v>
      </c>
      <c r="AH746" s="12" t="s">
        <v>64</v>
      </c>
      <c r="AO746" s="11">
        <v>1091.6030000000001</v>
      </c>
      <c r="AP746" s="11">
        <v>8721.7209999999995</v>
      </c>
      <c r="AQ746" s="11">
        <v>7437.415</v>
      </c>
      <c r="AR746" s="11">
        <v>12650.833000000001</v>
      </c>
      <c r="AS746" s="11">
        <v>23934.151000000002</v>
      </c>
      <c r="AT746" s="11">
        <v>8686.4930000000004</v>
      </c>
      <c r="AU746" s="11">
        <v>749.37300000000005</v>
      </c>
      <c r="AV746" s="12">
        <v>11623.138000000001</v>
      </c>
    </row>
    <row r="747" spans="2:48" x14ac:dyDescent="0.2">
      <c r="B747" s="4" t="s">
        <v>138</v>
      </c>
      <c r="H747" s="12" t="s">
        <v>64</v>
      </c>
      <c r="I747" s="12" t="s">
        <v>64</v>
      </c>
      <c r="J747" s="12" t="s">
        <v>64</v>
      </c>
      <c r="K747" s="17">
        <f t="shared" si="2945"/>
        <v>1864.153</v>
      </c>
      <c r="L747" s="12" t="s">
        <v>64</v>
      </c>
      <c r="M747" s="12" t="s">
        <v>64</v>
      </c>
      <c r="N747" s="12" t="s">
        <v>64</v>
      </c>
      <c r="O747" s="17">
        <f t="shared" si="2946"/>
        <v>2648.8690000000001</v>
      </c>
      <c r="P747" s="12" t="s">
        <v>64</v>
      </c>
      <c r="Q747" s="12" t="s">
        <v>64</v>
      </c>
      <c r="R747" s="12" t="s">
        <v>64</v>
      </c>
      <c r="S747" s="17">
        <f t="shared" si="2947"/>
        <v>5849.1480000000001</v>
      </c>
      <c r="T747" s="12" t="s">
        <v>64</v>
      </c>
      <c r="U747" s="12" t="s">
        <v>64</v>
      </c>
      <c r="V747" s="12" t="s">
        <v>64</v>
      </c>
      <c r="W747" s="17">
        <f t="shared" si="2948"/>
        <v>3492.038</v>
      </c>
      <c r="X747" s="12" t="s">
        <v>64</v>
      </c>
      <c r="Y747" s="12" t="s">
        <v>64</v>
      </c>
      <c r="Z747" s="12" t="s">
        <v>64</v>
      </c>
      <c r="AA747" s="17">
        <f t="shared" si="2949"/>
        <v>7003.9979999999996</v>
      </c>
      <c r="AB747" s="12" t="s">
        <v>64</v>
      </c>
      <c r="AC747" s="12" t="s">
        <v>64</v>
      </c>
      <c r="AD747" s="12" t="s">
        <v>64</v>
      </c>
      <c r="AE747" s="17">
        <f t="shared" si="2950"/>
        <v>34258.159</v>
      </c>
      <c r="AF747" s="12" t="s">
        <v>64</v>
      </c>
      <c r="AG747" s="12" t="s">
        <v>64</v>
      </c>
      <c r="AH747" s="12" t="s">
        <v>64</v>
      </c>
      <c r="AO747" s="11">
        <v>-95.41</v>
      </c>
      <c r="AP747" s="11">
        <v>318.363</v>
      </c>
      <c r="AQ747" s="11">
        <v>1864.153</v>
      </c>
      <c r="AR747" s="11">
        <v>2648.8690000000001</v>
      </c>
      <c r="AS747" s="11">
        <v>5849.1480000000001</v>
      </c>
      <c r="AT747" s="11">
        <v>3492.038</v>
      </c>
      <c r="AU747" s="11">
        <v>7003.9979999999996</v>
      </c>
      <c r="AV747" s="12">
        <v>34258.159</v>
      </c>
    </row>
    <row r="748" spans="2:48" x14ac:dyDescent="0.2">
      <c r="B748" s="4" t="s">
        <v>139</v>
      </c>
      <c r="H748" s="12" t="s">
        <v>64</v>
      </c>
      <c r="I748" s="12" t="s">
        <v>64</v>
      </c>
      <c r="J748" s="12" t="s">
        <v>64</v>
      </c>
      <c r="K748" s="17">
        <f t="shared" si="2945"/>
        <v>2410.1880000000001</v>
      </c>
      <c r="L748" s="12" t="s">
        <v>64</v>
      </c>
      <c r="M748" s="12" t="s">
        <v>64</v>
      </c>
      <c r="N748" s="12" t="s">
        <v>64</v>
      </c>
      <c r="O748" s="17">
        <f t="shared" si="2946"/>
        <v>3652.6390000000001</v>
      </c>
      <c r="P748" s="12" t="s">
        <v>64</v>
      </c>
      <c r="Q748" s="12" t="s">
        <v>64</v>
      </c>
      <c r="R748" s="12" t="s">
        <v>64</v>
      </c>
      <c r="S748" s="17">
        <f t="shared" si="2947"/>
        <v>3085.4070000000002</v>
      </c>
      <c r="T748" s="12" t="s">
        <v>64</v>
      </c>
      <c r="U748" s="12" t="s">
        <v>64</v>
      </c>
      <c r="V748" s="12" t="s">
        <v>64</v>
      </c>
      <c r="W748" s="17">
        <f t="shared" si="2948"/>
        <v>2651.2330000000002</v>
      </c>
      <c r="X748" s="12" t="s">
        <v>64</v>
      </c>
      <c r="Y748" s="12" t="s">
        <v>64</v>
      </c>
      <c r="Z748" s="12" t="s">
        <v>64</v>
      </c>
      <c r="AA748" s="17">
        <f t="shared" si="2949"/>
        <v>1480.6769999999999</v>
      </c>
      <c r="AB748" s="12" t="s">
        <v>64</v>
      </c>
      <c r="AC748" s="12" t="s">
        <v>64</v>
      </c>
      <c r="AD748" s="12" t="s">
        <v>64</v>
      </c>
      <c r="AE748" s="17">
        <f t="shared" si="2950"/>
        <v>1820.5170000000001</v>
      </c>
      <c r="AF748" s="12" t="s">
        <v>64</v>
      </c>
      <c r="AG748" s="12" t="s">
        <v>64</v>
      </c>
      <c r="AH748" s="12" t="s">
        <v>64</v>
      </c>
      <c r="AO748" s="11">
        <v>219.47200000000001</v>
      </c>
      <c r="AP748" s="11">
        <v>1558.6130000000001</v>
      </c>
      <c r="AQ748" s="11">
        <v>2410.1880000000001</v>
      </c>
      <c r="AR748" s="11">
        <v>3652.6390000000001</v>
      </c>
      <c r="AS748" s="11">
        <v>3085.4070000000002</v>
      </c>
      <c r="AT748" s="11">
        <v>2651.2330000000002</v>
      </c>
      <c r="AU748" s="11">
        <v>1480.6769999999999</v>
      </c>
      <c r="AV748" s="12">
        <v>1820.5170000000001</v>
      </c>
    </row>
    <row r="749" spans="2:48" x14ac:dyDescent="0.2">
      <c r="B749" s="4" t="s">
        <v>140</v>
      </c>
      <c r="H749" s="12" t="s">
        <v>64</v>
      </c>
      <c r="I749" s="12" t="s">
        <v>64</v>
      </c>
      <c r="J749" s="12" t="s">
        <v>64</v>
      </c>
      <c r="K749" s="17">
        <f t="shared" si="2945"/>
        <v>0</v>
      </c>
      <c r="L749" s="12" t="s">
        <v>64</v>
      </c>
      <c r="M749" s="12" t="s">
        <v>64</v>
      </c>
      <c r="N749" s="12" t="s">
        <v>64</v>
      </c>
      <c r="O749" s="17">
        <f t="shared" si="2946"/>
        <v>-590.39400000000001</v>
      </c>
      <c r="P749" s="12" t="s">
        <v>64</v>
      </c>
      <c r="Q749" s="12" t="s">
        <v>64</v>
      </c>
      <c r="R749" s="12" t="s">
        <v>64</v>
      </c>
      <c r="S749" s="17">
        <f t="shared" si="2947"/>
        <v>0</v>
      </c>
      <c r="T749" s="12" t="s">
        <v>64</v>
      </c>
      <c r="U749" s="12" t="s">
        <v>64</v>
      </c>
      <c r="V749" s="12" t="s">
        <v>64</v>
      </c>
      <c r="W749" s="17">
        <f t="shared" si="2948"/>
        <v>0</v>
      </c>
      <c r="X749" s="12" t="s">
        <v>64</v>
      </c>
      <c r="Y749" s="12" t="s">
        <v>64</v>
      </c>
      <c r="Z749" s="12" t="s">
        <v>64</v>
      </c>
      <c r="AA749" s="17">
        <f t="shared" si="2949"/>
        <v>0</v>
      </c>
      <c r="AB749" s="12" t="s">
        <v>64</v>
      </c>
      <c r="AC749" s="12" t="s">
        <v>64</v>
      </c>
      <c r="AD749" s="12" t="s">
        <v>64</v>
      </c>
      <c r="AE749" s="17">
        <f t="shared" si="2950"/>
        <v>0</v>
      </c>
      <c r="AF749" s="12" t="s">
        <v>64</v>
      </c>
      <c r="AG749" s="12" t="s">
        <v>64</v>
      </c>
      <c r="AH749" s="12" t="s">
        <v>64</v>
      </c>
      <c r="AO749" s="11">
        <v>0</v>
      </c>
      <c r="AP749" s="11">
        <v>0</v>
      </c>
      <c r="AQ749" s="11">
        <v>0</v>
      </c>
      <c r="AR749" s="11">
        <v>-590.39400000000001</v>
      </c>
      <c r="AS749" s="11">
        <v>0</v>
      </c>
      <c r="AT749" s="11">
        <v>0</v>
      </c>
      <c r="AU749" s="11">
        <v>0</v>
      </c>
      <c r="AV749" s="12">
        <v>0</v>
      </c>
    </row>
    <row r="750" spans="2:48" x14ac:dyDescent="0.2">
      <c r="B750" s="4" t="s">
        <v>141</v>
      </c>
      <c r="H750" s="12" t="s">
        <v>64</v>
      </c>
      <c r="I750" s="12" t="s">
        <v>64</v>
      </c>
      <c r="J750" s="12" t="s">
        <v>64</v>
      </c>
      <c r="K750" s="17">
        <f t="shared" si="2945"/>
        <v>0</v>
      </c>
      <c r="L750" s="12" t="s">
        <v>64</v>
      </c>
      <c r="M750" s="12" t="s">
        <v>64</v>
      </c>
      <c r="N750" s="12" t="s">
        <v>64</v>
      </c>
      <c r="O750" s="17">
        <f t="shared" si="2946"/>
        <v>544.327</v>
      </c>
      <c r="P750" s="12" t="s">
        <v>64</v>
      </c>
      <c r="Q750" s="12" t="s">
        <v>64</v>
      </c>
      <c r="R750" s="12" t="s">
        <v>64</v>
      </c>
      <c r="S750" s="17">
        <f t="shared" si="2947"/>
        <v>-137.93600000000001</v>
      </c>
      <c r="T750" s="12" t="s">
        <v>64</v>
      </c>
      <c r="U750" s="12" t="s">
        <v>64</v>
      </c>
      <c r="V750" s="12" t="s">
        <v>64</v>
      </c>
      <c r="W750" s="17">
        <f t="shared" si="2948"/>
        <v>-354.12299999999999</v>
      </c>
      <c r="X750" s="12" t="s">
        <v>64</v>
      </c>
      <c r="Y750" s="12" t="s">
        <v>64</v>
      </c>
      <c r="Z750" s="12" t="s">
        <v>64</v>
      </c>
      <c r="AA750" s="17">
        <f t="shared" si="2949"/>
        <v>-487.06799999999998</v>
      </c>
      <c r="AB750" s="12" t="s">
        <v>64</v>
      </c>
      <c r="AC750" s="12" t="s">
        <v>64</v>
      </c>
      <c r="AD750" s="12" t="s">
        <v>64</v>
      </c>
      <c r="AE750" s="17">
        <f t="shared" si="2950"/>
        <v>-977.78800000000001</v>
      </c>
      <c r="AF750" s="12" t="s">
        <v>64</v>
      </c>
      <c r="AG750" s="12" t="s">
        <v>64</v>
      </c>
      <c r="AH750" s="12" t="s">
        <v>64</v>
      </c>
      <c r="AO750" s="11">
        <v>0</v>
      </c>
      <c r="AP750" s="11">
        <v>0</v>
      </c>
      <c r="AQ750" s="11">
        <v>0</v>
      </c>
      <c r="AR750" s="11">
        <v>544.327</v>
      </c>
      <c r="AS750" s="11">
        <v>-137.93600000000001</v>
      </c>
      <c r="AT750" s="11">
        <v>-354.12299999999999</v>
      </c>
      <c r="AU750" s="11">
        <v>-487.06799999999998</v>
      </c>
      <c r="AV750" s="12">
        <v>-977.78800000000001</v>
      </c>
    </row>
    <row r="751" spans="2:48" x14ac:dyDescent="0.2">
      <c r="B751" s="4" t="s">
        <v>184</v>
      </c>
      <c r="H751" s="12"/>
      <c r="I751" s="12"/>
      <c r="J751" s="12"/>
      <c r="K751" s="17"/>
      <c r="L751" s="12" t="s">
        <v>64</v>
      </c>
      <c r="M751" s="12" t="s">
        <v>64</v>
      </c>
      <c r="N751" s="12" t="s">
        <v>64</v>
      </c>
      <c r="O751" s="17">
        <f t="shared" ref="O751" si="2951">+AR751</f>
        <v>0</v>
      </c>
      <c r="P751" s="12" t="s">
        <v>64</v>
      </c>
      <c r="Q751" s="12" t="s">
        <v>64</v>
      </c>
      <c r="R751" s="12" t="s">
        <v>64</v>
      </c>
      <c r="S751" s="17">
        <f t="shared" ref="S751" si="2952">+AS751</f>
        <v>0</v>
      </c>
      <c r="T751" s="12" t="s">
        <v>64</v>
      </c>
      <c r="U751" s="12" t="s">
        <v>64</v>
      </c>
      <c r="V751" s="12" t="s">
        <v>64</v>
      </c>
      <c r="W751" s="17">
        <f t="shared" ref="W751" si="2953">+AT751</f>
        <v>0</v>
      </c>
      <c r="X751" s="12" t="s">
        <v>64</v>
      </c>
      <c r="Y751" s="12" t="s">
        <v>64</v>
      </c>
      <c r="Z751" s="12" t="s">
        <v>64</v>
      </c>
      <c r="AA751" s="17">
        <f t="shared" ref="AA751" si="2954">+AU751</f>
        <v>0</v>
      </c>
      <c r="AB751" s="12" t="s">
        <v>64</v>
      </c>
      <c r="AC751" s="12" t="s">
        <v>64</v>
      </c>
      <c r="AD751" s="12" t="s">
        <v>64</v>
      </c>
      <c r="AE751" s="17">
        <f t="shared" ref="AE751" si="2955">+AV751</f>
        <v>-13856.982</v>
      </c>
      <c r="AF751" s="12" t="s">
        <v>64</v>
      </c>
      <c r="AG751" s="12" t="s">
        <v>64</v>
      </c>
      <c r="AH751" s="12" t="s">
        <v>64</v>
      </c>
      <c r="AO751" s="11">
        <v>0</v>
      </c>
      <c r="AP751" s="11">
        <v>0</v>
      </c>
      <c r="AQ751" s="11">
        <v>0</v>
      </c>
      <c r="AR751" s="11">
        <v>0</v>
      </c>
      <c r="AS751" s="11">
        <v>0</v>
      </c>
      <c r="AT751" s="11">
        <v>0</v>
      </c>
      <c r="AU751" s="11">
        <v>0</v>
      </c>
      <c r="AV751" s="11">
        <v>-13856.982</v>
      </c>
    </row>
    <row r="752" spans="2:48" x14ac:dyDescent="0.2">
      <c r="B752" s="4" t="s">
        <v>142</v>
      </c>
      <c r="H752" s="12" t="s">
        <v>64</v>
      </c>
      <c r="I752" s="12" t="s">
        <v>64</v>
      </c>
      <c r="J752" s="12" t="s">
        <v>64</v>
      </c>
      <c r="K752" s="17">
        <f t="shared" si="2945"/>
        <v>0</v>
      </c>
      <c r="L752" s="12" t="s">
        <v>64</v>
      </c>
      <c r="M752" s="12" t="s">
        <v>64</v>
      </c>
      <c r="N752" s="12" t="s">
        <v>64</v>
      </c>
      <c r="O752" s="17">
        <f t="shared" si="2946"/>
        <v>-69.471000000000004</v>
      </c>
      <c r="P752" s="12" t="s">
        <v>64</v>
      </c>
      <c r="Q752" s="12" t="s">
        <v>64</v>
      </c>
      <c r="R752" s="12" t="s">
        <v>64</v>
      </c>
      <c r="S752" s="17">
        <f t="shared" si="2947"/>
        <v>-13.182</v>
      </c>
      <c r="T752" s="12" t="s">
        <v>64</v>
      </c>
      <c r="U752" s="12" t="s">
        <v>64</v>
      </c>
      <c r="V752" s="12" t="s">
        <v>64</v>
      </c>
      <c r="W752" s="17">
        <f t="shared" si="2948"/>
        <v>-23.102</v>
      </c>
      <c r="X752" s="12" t="s">
        <v>64</v>
      </c>
      <c r="Y752" s="12" t="s">
        <v>64</v>
      </c>
      <c r="Z752" s="12" t="s">
        <v>64</v>
      </c>
      <c r="AA752" s="17">
        <f t="shared" si="2949"/>
        <v>-34.491999999999997</v>
      </c>
      <c r="AB752" s="12" t="s">
        <v>64</v>
      </c>
      <c r="AC752" s="12" t="s">
        <v>64</v>
      </c>
      <c r="AD752" s="12" t="s">
        <v>64</v>
      </c>
      <c r="AE752" s="17">
        <f t="shared" si="2950"/>
        <v>-184.154</v>
      </c>
      <c r="AF752" s="12" t="s">
        <v>64</v>
      </c>
      <c r="AG752" s="12" t="s">
        <v>64</v>
      </c>
      <c r="AH752" s="12" t="s">
        <v>64</v>
      </c>
      <c r="AO752" s="11">
        <v>0</v>
      </c>
      <c r="AP752" s="11">
        <v>0</v>
      </c>
      <c r="AQ752" s="11">
        <v>0</v>
      </c>
      <c r="AR752" s="11">
        <v>-69.471000000000004</v>
      </c>
      <c r="AS752" s="11">
        <v>-13.182</v>
      </c>
      <c r="AT752" s="11">
        <v>-23.102</v>
      </c>
      <c r="AU752" s="11">
        <v>-34.491999999999997</v>
      </c>
      <c r="AV752" s="12">
        <v>-184.154</v>
      </c>
    </row>
    <row r="753" spans="2:48" ht="13.5" x14ac:dyDescent="0.35">
      <c r="B753" s="4" t="s">
        <v>143</v>
      </c>
      <c r="H753" s="23" t="s">
        <v>64</v>
      </c>
      <c r="I753" s="23" t="s">
        <v>64</v>
      </c>
      <c r="J753" s="23" t="s">
        <v>64</v>
      </c>
      <c r="K753" s="36">
        <f t="shared" si="2945"/>
        <v>0</v>
      </c>
      <c r="L753" s="23" t="s">
        <v>64</v>
      </c>
      <c r="M753" s="23" t="s">
        <v>64</v>
      </c>
      <c r="N753" s="23" t="s">
        <v>64</v>
      </c>
      <c r="O753" s="36">
        <f t="shared" si="2946"/>
        <v>7.3890000000000002</v>
      </c>
      <c r="P753" s="23" t="s">
        <v>64</v>
      </c>
      <c r="Q753" s="23" t="s">
        <v>64</v>
      </c>
      <c r="R753" s="23" t="s">
        <v>64</v>
      </c>
      <c r="S753" s="36">
        <f t="shared" si="2947"/>
        <v>-4.4710000000000001</v>
      </c>
      <c r="T753" s="23" t="s">
        <v>64</v>
      </c>
      <c r="U753" s="23" t="s">
        <v>64</v>
      </c>
      <c r="V753" s="23" t="s">
        <v>64</v>
      </c>
      <c r="W753" s="36">
        <f t="shared" si="2948"/>
        <v>-1.9219999999999999</v>
      </c>
      <c r="X753" s="23" t="s">
        <v>64</v>
      </c>
      <c r="Y753" s="23" t="s">
        <v>64</v>
      </c>
      <c r="Z753" s="23" t="s">
        <v>64</v>
      </c>
      <c r="AA753" s="36">
        <f t="shared" si="2949"/>
        <v>-0.996</v>
      </c>
      <c r="AB753" s="23" t="s">
        <v>64</v>
      </c>
      <c r="AC753" s="23" t="s">
        <v>64</v>
      </c>
      <c r="AD753" s="23" t="s">
        <v>64</v>
      </c>
      <c r="AE753" s="36">
        <f t="shared" si="2950"/>
        <v>0</v>
      </c>
      <c r="AF753" s="23" t="s">
        <v>64</v>
      </c>
      <c r="AG753" s="23" t="s">
        <v>64</v>
      </c>
      <c r="AH753" s="23" t="s">
        <v>64</v>
      </c>
      <c r="AO753" s="13">
        <v>0</v>
      </c>
      <c r="AP753" s="13">
        <v>0</v>
      </c>
      <c r="AQ753" s="13">
        <v>0</v>
      </c>
      <c r="AR753" s="13">
        <v>7.3890000000000002</v>
      </c>
      <c r="AS753" s="13">
        <v>-4.4710000000000001</v>
      </c>
      <c r="AT753" s="13">
        <v>-1.9219999999999999</v>
      </c>
      <c r="AU753" s="13">
        <v>-0.996</v>
      </c>
      <c r="AV753" s="23">
        <v>0</v>
      </c>
    </row>
    <row r="754" spans="2:48" s="1" customFormat="1" x14ac:dyDescent="0.2">
      <c r="B754" s="43" t="s">
        <v>172</v>
      </c>
      <c r="H754" s="39">
        <v>628.92399999999964</v>
      </c>
      <c r="I754" s="39">
        <v>989.82799999999997</v>
      </c>
      <c r="J754" s="39">
        <v>1239.57</v>
      </c>
      <c r="K754" s="49">
        <f t="shared" si="2945"/>
        <v>7767.9269999999997</v>
      </c>
      <c r="L754" s="39">
        <v>-1543.251</v>
      </c>
      <c r="M754" s="39">
        <v>2604.7310000000002</v>
      </c>
      <c r="N754" s="39">
        <v>5222.9629999999997</v>
      </c>
      <c r="O754" s="49">
        <f t="shared" si="2946"/>
        <v>14820.975999999999</v>
      </c>
      <c r="P754" s="39">
        <v>-567.07000000000005</v>
      </c>
      <c r="Q754" s="39">
        <v>4928.2659999999996</v>
      </c>
      <c r="R754" s="39">
        <v>13250.058000000001</v>
      </c>
      <c r="S754" s="49">
        <f t="shared" si="2947"/>
        <v>28196.627</v>
      </c>
      <c r="T754" s="39">
        <v>-3724.547</v>
      </c>
      <c r="U754" s="39">
        <v>3646.6680000000001</v>
      </c>
      <c r="V754" s="39">
        <v>12383.236000000001</v>
      </c>
      <c r="W754" s="49">
        <f t="shared" si="2948"/>
        <v>28783.010999999999</v>
      </c>
      <c r="X754" s="39">
        <v>-9068.0959999999995</v>
      </c>
      <c r="Y754" s="39">
        <v>10305.775</v>
      </c>
      <c r="Z754" s="39">
        <v>21957.598000000002</v>
      </c>
      <c r="AA754" s="49">
        <f t="shared" si="2949"/>
        <v>48507.86</v>
      </c>
      <c r="AB754" s="39">
        <v>1338.0219999999999</v>
      </c>
      <c r="AC754" s="39">
        <v>24734.003000000001</v>
      </c>
      <c r="AD754" s="39">
        <v>57271.86</v>
      </c>
      <c r="AE754" s="49">
        <f t="shared" si="2950"/>
        <v>94162.531000000003</v>
      </c>
      <c r="AF754" s="39">
        <v>21067.179</v>
      </c>
      <c r="AG754" s="39">
        <v>43792.639999999999</v>
      </c>
      <c r="AH754" s="39">
        <v>92382.131999999998</v>
      </c>
      <c r="AO754" s="49">
        <f t="shared" ref="AO754" si="2956">IFERROR(AO724+SUM(AO725:AO738)+SUM(AO740:AO753),"n/a")</f>
        <v>879.77700000000027</v>
      </c>
      <c r="AP754" s="49">
        <f t="shared" ref="AP754" si="2957">IFERROR(AP724+SUM(AP725:AP738)+SUM(AP740:AP753),"n/a")</f>
        <v>315.47900000000192</v>
      </c>
      <c r="AQ754" s="49">
        <f t="shared" ref="AQ754" si="2958">IFERROR(AQ724+SUM(AQ725:AQ738)+SUM(AQ740:AQ753),"n/a")</f>
        <v>7767.9269999999997</v>
      </c>
      <c r="AR754" s="49">
        <f t="shared" ref="AR754" si="2959">IFERROR(AR724+SUM(AR725:AR738)+SUM(AR740:AR753),"n/a")</f>
        <v>14820.975999999999</v>
      </c>
      <c r="AS754" s="49">
        <f t="shared" ref="AS754" si="2960">IFERROR(AS724+SUM(AS725:AS738)+SUM(AS740:AS753),"n/a")</f>
        <v>28196.627</v>
      </c>
      <c r="AT754" s="49">
        <f t="shared" ref="AT754" si="2961">IFERROR(AT724+SUM(AT725:AT738)+SUM(AT740:AT753),"n/a")</f>
        <v>28783.010999999999</v>
      </c>
      <c r="AU754" s="49">
        <f t="shared" ref="AU754:AV754" si="2962">IFERROR(AU724+SUM(AU725:AU738)+SUM(AU740:AU753),"n/a")</f>
        <v>48507.86</v>
      </c>
      <c r="AV754" s="49">
        <f t="shared" si="2962"/>
        <v>94162.531000000003</v>
      </c>
    </row>
    <row r="755" spans="2:48" x14ac:dyDescent="0.2">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O755" s="11"/>
      <c r="AP755" s="11"/>
      <c r="AQ755" s="11"/>
      <c r="AR755" s="11"/>
      <c r="AS755" s="11"/>
      <c r="AT755" s="11"/>
      <c r="AU755" s="11"/>
      <c r="AV755" s="11"/>
    </row>
    <row r="756" spans="2:48" x14ac:dyDescent="0.2">
      <c r="B756" s="1" t="s">
        <v>173</v>
      </c>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O756" s="11"/>
      <c r="AP756" s="11"/>
      <c r="AQ756" s="11"/>
      <c r="AR756" s="11"/>
      <c r="AS756" s="11"/>
      <c r="AT756" s="11"/>
      <c r="AU756" s="11"/>
      <c r="AV756" s="11"/>
    </row>
    <row r="757" spans="2:48" x14ac:dyDescent="0.2">
      <c r="B757" t="s">
        <v>144</v>
      </c>
      <c r="H757" s="12" t="s">
        <v>64</v>
      </c>
      <c r="I757" s="12" t="s">
        <v>64</v>
      </c>
      <c r="J757" s="12" t="s">
        <v>64</v>
      </c>
      <c r="K757" s="17">
        <f t="shared" ref="K757:K770" si="2963">+AQ757</f>
        <v>-7516.37</v>
      </c>
      <c r="L757" s="12" t="s">
        <v>64</v>
      </c>
      <c r="M757" s="12" t="s">
        <v>64</v>
      </c>
      <c r="N757" s="12" t="s">
        <v>64</v>
      </c>
      <c r="O757" s="17">
        <f t="shared" ref="O757:O771" si="2964">+AR757</f>
        <v>-52451.614999999998</v>
      </c>
      <c r="P757" s="12" t="s">
        <v>64</v>
      </c>
      <c r="Q757" s="12" t="s">
        <v>64</v>
      </c>
      <c r="R757" s="12" t="s">
        <v>64</v>
      </c>
      <c r="S757" s="17">
        <f t="shared" ref="S757:S771" si="2965">+AS757</f>
        <v>-86438.067999999999</v>
      </c>
      <c r="T757" s="12" t="s">
        <v>64</v>
      </c>
      <c r="U757" s="12" t="s">
        <v>64</v>
      </c>
      <c r="V757" s="12" t="s">
        <v>64</v>
      </c>
      <c r="W757" s="17">
        <f t="shared" ref="W757:W771" si="2966">+AT757</f>
        <v>-116639.55</v>
      </c>
      <c r="X757" s="12" t="s">
        <v>64</v>
      </c>
      <c r="Y757" s="12" t="s">
        <v>64</v>
      </c>
      <c r="Z757" s="12" t="s">
        <v>64</v>
      </c>
      <c r="AA757" s="17">
        <f t="shared" ref="AA757:AA771" si="2967">+AU757</f>
        <v>-160414.45300000001</v>
      </c>
      <c r="AB757" s="12" t="s">
        <v>64</v>
      </c>
      <c r="AC757" s="12" t="s">
        <v>64</v>
      </c>
      <c r="AD757" s="12" t="s">
        <v>64</v>
      </c>
      <c r="AE757" s="17">
        <f t="shared" ref="AE757:AE771" si="2968">+AV757</f>
        <v>-147131.67300000001</v>
      </c>
      <c r="AF757" s="12" t="s">
        <v>64</v>
      </c>
      <c r="AG757" s="12" t="s">
        <v>64</v>
      </c>
      <c r="AH757" s="12" t="s">
        <v>64</v>
      </c>
      <c r="AO757" s="11">
        <v>-320</v>
      </c>
      <c r="AP757" s="11">
        <v>-1393</v>
      </c>
      <c r="AQ757" s="11">
        <v>-7516.37</v>
      </c>
      <c r="AR757" s="11">
        <v>-52451.614999999998</v>
      </c>
      <c r="AS757" s="11">
        <v>-86438.067999999999</v>
      </c>
      <c r="AT757" s="11">
        <v>-116639.55</v>
      </c>
      <c r="AU757" s="11">
        <v>-160414.45300000001</v>
      </c>
      <c r="AV757" s="12">
        <v>-147131.67300000001</v>
      </c>
    </row>
    <row r="758" spans="2:48" x14ac:dyDescent="0.2">
      <c r="B758" t="s">
        <v>145</v>
      </c>
      <c r="H758" s="12" t="s">
        <v>64</v>
      </c>
      <c r="I758" s="12" t="s">
        <v>64</v>
      </c>
      <c r="J758" s="12" t="s">
        <v>64</v>
      </c>
      <c r="K758" s="17">
        <f t="shared" si="2963"/>
        <v>50</v>
      </c>
      <c r="L758" s="12" t="s">
        <v>64</v>
      </c>
      <c r="M758" s="12" t="s">
        <v>64</v>
      </c>
      <c r="N758" s="12" t="s">
        <v>64</v>
      </c>
      <c r="O758" s="17">
        <f t="shared" si="2964"/>
        <v>24797.63</v>
      </c>
      <c r="P758" s="12" t="s">
        <v>64</v>
      </c>
      <c r="Q758" s="12" t="s">
        <v>64</v>
      </c>
      <c r="R758" s="12" t="s">
        <v>64</v>
      </c>
      <c r="S758" s="17">
        <f t="shared" si="2965"/>
        <v>55083.39</v>
      </c>
      <c r="T758" s="12" t="s">
        <v>64</v>
      </c>
      <c r="U758" s="12" t="s">
        <v>64</v>
      </c>
      <c r="V758" s="12" t="s">
        <v>64</v>
      </c>
      <c r="W758" s="17">
        <f t="shared" si="2966"/>
        <v>97547.038</v>
      </c>
      <c r="X758" s="12" t="s">
        <v>64</v>
      </c>
      <c r="Y758" s="12" t="s">
        <v>64</v>
      </c>
      <c r="Z758" s="12" t="s">
        <v>64</v>
      </c>
      <c r="AA758" s="17">
        <f t="shared" si="2967"/>
        <v>141928.351</v>
      </c>
      <c r="AB758" s="12" t="s">
        <v>64</v>
      </c>
      <c r="AC758" s="12" t="s">
        <v>64</v>
      </c>
      <c r="AD758" s="12" t="s">
        <v>64</v>
      </c>
      <c r="AE758" s="17">
        <f t="shared" si="2968"/>
        <v>130317.231</v>
      </c>
      <c r="AF758" s="12" t="s">
        <v>64</v>
      </c>
      <c r="AG758" s="12" t="s">
        <v>64</v>
      </c>
      <c r="AH758" s="12" t="s">
        <v>64</v>
      </c>
      <c r="AO758" s="11">
        <v>30</v>
      </c>
      <c r="AP758" s="11">
        <v>1633</v>
      </c>
      <c r="AQ758" s="11">
        <v>50</v>
      </c>
      <c r="AR758" s="11">
        <v>24797.63</v>
      </c>
      <c r="AS758" s="11">
        <v>55083.39</v>
      </c>
      <c r="AT758" s="11">
        <v>97547.038</v>
      </c>
      <c r="AU758" s="11">
        <v>141928.351</v>
      </c>
      <c r="AV758" s="12">
        <v>130317.231</v>
      </c>
    </row>
    <row r="759" spans="2:48" x14ac:dyDescent="0.2">
      <c r="B759" t="s">
        <v>146</v>
      </c>
      <c r="H759" s="12" t="s">
        <v>64</v>
      </c>
      <c r="I759" s="12" t="s">
        <v>64</v>
      </c>
      <c r="J759" s="12" t="s">
        <v>64</v>
      </c>
      <c r="K759" s="17">
        <f t="shared" si="2963"/>
        <v>0</v>
      </c>
      <c r="L759" s="12" t="s">
        <v>64</v>
      </c>
      <c r="M759" s="12" t="s">
        <v>64</v>
      </c>
      <c r="N759" s="12" t="s">
        <v>64</v>
      </c>
      <c r="O759" s="17">
        <f t="shared" si="2964"/>
        <v>0</v>
      </c>
      <c r="P759" s="12" t="s">
        <v>64</v>
      </c>
      <c r="Q759" s="12" t="s">
        <v>64</v>
      </c>
      <c r="R759" s="12" t="s">
        <v>64</v>
      </c>
      <c r="S759" s="17">
        <f t="shared" si="2965"/>
        <v>-6722.2280000000001</v>
      </c>
      <c r="T759" s="12" t="s">
        <v>64</v>
      </c>
      <c r="U759" s="12" t="s">
        <v>64</v>
      </c>
      <c r="V759" s="12" t="s">
        <v>64</v>
      </c>
      <c r="W759" s="17">
        <f t="shared" si="2966"/>
        <v>-13628.052</v>
      </c>
      <c r="X759" s="12" t="s">
        <v>64</v>
      </c>
      <c r="Y759" s="12" t="s">
        <v>64</v>
      </c>
      <c r="Z759" s="12" t="s">
        <v>64</v>
      </c>
      <c r="AA759" s="17">
        <f t="shared" si="2967"/>
        <v>-6795.8379999999997</v>
      </c>
      <c r="AB759" s="12" t="s">
        <v>64</v>
      </c>
      <c r="AC759" s="12" t="s">
        <v>64</v>
      </c>
      <c r="AD759" s="12" t="s">
        <v>64</v>
      </c>
      <c r="AE759" s="17">
        <f t="shared" si="2968"/>
        <v>-25051.222000000002</v>
      </c>
      <c r="AF759" s="12" t="s">
        <v>64</v>
      </c>
      <c r="AG759" s="12" t="s">
        <v>64</v>
      </c>
      <c r="AH759" s="12" t="s">
        <v>64</v>
      </c>
      <c r="AO759" s="11">
        <v>0</v>
      </c>
      <c r="AP759" s="11">
        <v>0</v>
      </c>
      <c r="AQ759" s="11">
        <v>0</v>
      </c>
      <c r="AR759" s="11">
        <v>0</v>
      </c>
      <c r="AS759" s="11">
        <v>-6722.2280000000001</v>
      </c>
      <c r="AT759" s="11">
        <v>-13628.052</v>
      </c>
      <c r="AU759" s="11">
        <v>-6795.8379999999997</v>
      </c>
      <c r="AV759" s="12">
        <v>-25051.222000000002</v>
      </c>
    </row>
    <row r="760" spans="2:48" x14ac:dyDescent="0.2">
      <c r="B760" t="s">
        <v>147</v>
      </c>
      <c r="H760" s="12" t="s">
        <v>64</v>
      </c>
      <c r="I760" s="12" t="s">
        <v>64</v>
      </c>
      <c r="J760" s="12" t="s">
        <v>64</v>
      </c>
      <c r="K760" s="17">
        <f t="shared" si="2963"/>
        <v>-184.637</v>
      </c>
      <c r="L760" s="12" t="s">
        <v>64</v>
      </c>
      <c r="M760" s="12" t="s">
        <v>64</v>
      </c>
      <c r="N760" s="12" t="s">
        <v>64</v>
      </c>
      <c r="O760" s="17">
        <f t="shared" si="2964"/>
        <v>-214.1</v>
      </c>
      <c r="P760" s="12" t="s">
        <v>64</v>
      </c>
      <c r="Q760" s="12" t="s">
        <v>64</v>
      </c>
      <c r="R760" s="12" t="s">
        <v>64</v>
      </c>
      <c r="S760" s="17">
        <f t="shared" si="2965"/>
        <v>0</v>
      </c>
      <c r="T760" s="12" t="s">
        <v>64</v>
      </c>
      <c r="U760" s="12" t="s">
        <v>64</v>
      </c>
      <c r="V760" s="12" t="s">
        <v>64</v>
      </c>
      <c r="W760" s="17">
        <f t="shared" si="2966"/>
        <v>0</v>
      </c>
      <c r="X760" s="12" t="s">
        <v>64</v>
      </c>
      <c r="Y760" s="12" t="s">
        <v>64</v>
      </c>
      <c r="Z760" s="12" t="s">
        <v>64</v>
      </c>
      <c r="AA760" s="17">
        <f t="shared" si="2967"/>
        <v>0</v>
      </c>
      <c r="AB760" s="12" t="s">
        <v>64</v>
      </c>
      <c r="AC760" s="12" t="s">
        <v>64</v>
      </c>
      <c r="AD760" s="12" t="s">
        <v>64</v>
      </c>
      <c r="AE760" s="17">
        <f t="shared" si="2968"/>
        <v>0</v>
      </c>
      <c r="AF760" s="12" t="s">
        <v>64</v>
      </c>
      <c r="AG760" s="12" t="s">
        <v>64</v>
      </c>
      <c r="AH760" s="12" t="s">
        <v>64</v>
      </c>
      <c r="AO760" s="11">
        <v>-15</v>
      </c>
      <c r="AP760" s="11">
        <v>0</v>
      </c>
      <c r="AQ760" s="11">
        <v>-184.637</v>
      </c>
      <c r="AR760" s="11">
        <v>-214.1</v>
      </c>
      <c r="AS760" s="11">
        <v>0</v>
      </c>
      <c r="AT760" s="11">
        <v>0</v>
      </c>
      <c r="AU760" s="11">
        <v>0</v>
      </c>
      <c r="AV760" s="12">
        <v>0</v>
      </c>
    </row>
    <row r="761" spans="2:48" x14ac:dyDescent="0.2">
      <c r="B761" t="s">
        <v>148</v>
      </c>
      <c r="H761" s="12" t="s">
        <v>64</v>
      </c>
      <c r="I761" s="12" t="s">
        <v>64</v>
      </c>
      <c r="J761" s="12" t="s">
        <v>64</v>
      </c>
      <c r="K761" s="17">
        <f t="shared" si="2963"/>
        <v>5</v>
      </c>
      <c r="L761" s="12" t="s">
        <v>64</v>
      </c>
      <c r="M761" s="12" t="s">
        <v>64</v>
      </c>
      <c r="N761" s="12" t="s">
        <v>64</v>
      </c>
      <c r="O761" s="17">
        <f t="shared" si="2964"/>
        <v>0</v>
      </c>
      <c r="P761" s="12" t="s">
        <v>64</v>
      </c>
      <c r="Q761" s="12" t="s">
        <v>64</v>
      </c>
      <c r="R761" s="12" t="s">
        <v>64</v>
      </c>
      <c r="S761" s="17">
        <f t="shared" si="2965"/>
        <v>0</v>
      </c>
      <c r="T761" s="12" t="s">
        <v>64</v>
      </c>
      <c r="U761" s="12" t="s">
        <v>64</v>
      </c>
      <c r="V761" s="12" t="s">
        <v>64</v>
      </c>
      <c r="W761" s="17">
        <f t="shared" si="2966"/>
        <v>0</v>
      </c>
      <c r="X761" s="12" t="s">
        <v>64</v>
      </c>
      <c r="Y761" s="12" t="s">
        <v>64</v>
      </c>
      <c r="Z761" s="12" t="s">
        <v>64</v>
      </c>
      <c r="AA761" s="17">
        <f t="shared" si="2967"/>
        <v>7137.8140000000003</v>
      </c>
      <c r="AB761" s="12" t="s">
        <v>64</v>
      </c>
      <c r="AC761" s="12" t="s">
        <v>64</v>
      </c>
      <c r="AD761" s="12" t="s">
        <v>64</v>
      </c>
      <c r="AE761" s="17">
        <f t="shared" si="2968"/>
        <v>0</v>
      </c>
      <c r="AF761" s="12" t="s">
        <v>64</v>
      </c>
      <c r="AG761" s="12" t="s">
        <v>64</v>
      </c>
      <c r="AH761" s="12" t="s">
        <v>64</v>
      </c>
      <c r="AO761" s="11">
        <v>0</v>
      </c>
      <c r="AP761" s="11">
        <v>0</v>
      </c>
      <c r="AQ761" s="11">
        <v>5</v>
      </c>
      <c r="AR761" s="11">
        <v>0</v>
      </c>
      <c r="AS761" s="11">
        <v>0</v>
      </c>
      <c r="AT761" s="11">
        <v>0</v>
      </c>
      <c r="AU761" s="11">
        <v>7137.8140000000003</v>
      </c>
      <c r="AV761" s="12">
        <v>0</v>
      </c>
    </row>
    <row r="762" spans="2:48" x14ac:dyDescent="0.2">
      <c r="B762" t="s">
        <v>149</v>
      </c>
      <c r="H762" s="12" t="s">
        <v>64</v>
      </c>
      <c r="I762" s="12" t="s">
        <v>64</v>
      </c>
      <c r="J762" s="12" t="s">
        <v>64</v>
      </c>
      <c r="K762" s="17">
        <f t="shared" si="2963"/>
        <v>0</v>
      </c>
      <c r="L762" s="12" t="s">
        <v>64</v>
      </c>
      <c r="M762" s="12" t="s">
        <v>64</v>
      </c>
      <c r="N762" s="12" t="s">
        <v>64</v>
      </c>
      <c r="O762" s="17">
        <f t="shared" si="2964"/>
        <v>0</v>
      </c>
      <c r="P762" s="12" t="s">
        <v>64</v>
      </c>
      <c r="Q762" s="12" t="s">
        <v>64</v>
      </c>
      <c r="R762" s="12" t="s">
        <v>64</v>
      </c>
      <c r="S762" s="17">
        <f t="shared" si="2965"/>
        <v>0</v>
      </c>
      <c r="T762" s="12" t="s">
        <v>64</v>
      </c>
      <c r="U762" s="12" t="s">
        <v>64</v>
      </c>
      <c r="V762" s="12" t="s">
        <v>64</v>
      </c>
      <c r="W762" s="17">
        <f t="shared" si="2966"/>
        <v>0</v>
      </c>
      <c r="X762" s="12" t="s">
        <v>64</v>
      </c>
      <c r="Y762" s="12" t="s">
        <v>64</v>
      </c>
      <c r="Z762" s="12" t="s">
        <v>64</v>
      </c>
      <c r="AA762" s="17">
        <f t="shared" si="2967"/>
        <v>-3581.8679999999999</v>
      </c>
      <c r="AB762" s="12" t="s">
        <v>64</v>
      </c>
      <c r="AC762" s="12" t="s">
        <v>64</v>
      </c>
      <c r="AD762" s="12" t="s">
        <v>64</v>
      </c>
      <c r="AE762" s="17">
        <f t="shared" si="2968"/>
        <v>-17318.332999999999</v>
      </c>
      <c r="AF762" s="12" t="s">
        <v>64</v>
      </c>
      <c r="AG762" s="12" t="s">
        <v>64</v>
      </c>
      <c r="AH762" s="12" t="s">
        <v>64</v>
      </c>
      <c r="AO762" s="11">
        <v>0</v>
      </c>
      <c r="AP762" s="11">
        <v>0</v>
      </c>
      <c r="AQ762" s="11">
        <v>0</v>
      </c>
      <c r="AR762" s="11">
        <v>0</v>
      </c>
      <c r="AS762" s="11">
        <v>0</v>
      </c>
      <c r="AT762" s="11">
        <v>0</v>
      </c>
      <c r="AU762" s="11">
        <v>-3581.8679999999999</v>
      </c>
      <c r="AV762" s="12">
        <v>-17318.332999999999</v>
      </c>
    </row>
    <row r="763" spans="2:48" x14ac:dyDescent="0.2">
      <c r="B763" t="s">
        <v>447</v>
      </c>
      <c r="H763" s="12"/>
      <c r="I763" s="12"/>
      <c r="J763" s="12"/>
      <c r="K763" s="17"/>
      <c r="L763" s="12" t="s">
        <v>64</v>
      </c>
      <c r="M763" s="12" t="s">
        <v>64</v>
      </c>
      <c r="N763" s="12" t="s">
        <v>64</v>
      </c>
      <c r="O763" s="17">
        <f t="shared" ref="O763" si="2969">+AR763</f>
        <v>0</v>
      </c>
      <c r="P763" s="12" t="s">
        <v>64</v>
      </c>
      <c r="Q763" s="12" t="s">
        <v>64</v>
      </c>
      <c r="R763" s="12" t="s">
        <v>64</v>
      </c>
      <c r="S763" s="17">
        <f t="shared" ref="S763" si="2970">+AS763</f>
        <v>0</v>
      </c>
      <c r="T763" s="12" t="s">
        <v>64</v>
      </c>
      <c r="U763" s="12" t="s">
        <v>64</v>
      </c>
      <c r="V763" s="12" t="s">
        <v>64</v>
      </c>
      <c r="W763" s="17">
        <f t="shared" ref="W763" si="2971">+AT763</f>
        <v>0</v>
      </c>
      <c r="X763" s="12" t="s">
        <v>64</v>
      </c>
      <c r="Y763" s="12" t="s">
        <v>64</v>
      </c>
      <c r="Z763" s="12" t="s">
        <v>64</v>
      </c>
      <c r="AA763" s="17">
        <f t="shared" ref="AA763" si="2972">+AU763</f>
        <v>0</v>
      </c>
      <c r="AB763" s="12" t="s">
        <v>64</v>
      </c>
      <c r="AC763" s="12" t="s">
        <v>64</v>
      </c>
      <c r="AD763" s="12" t="s">
        <v>64</v>
      </c>
      <c r="AE763" s="17">
        <f t="shared" ref="AE763" si="2973">+AV763</f>
        <v>4206.3590000000004</v>
      </c>
      <c r="AF763" s="12" t="s">
        <v>64</v>
      </c>
      <c r="AG763" s="12" t="s">
        <v>64</v>
      </c>
      <c r="AH763" s="12" t="s">
        <v>64</v>
      </c>
      <c r="AO763" s="11">
        <v>0</v>
      </c>
      <c r="AP763" s="11">
        <v>0</v>
      </c>
      <c r="AQ763" s="11">
        <v>0</v>
      </c>
      <c r="AR763" s="11">
        <v>0</v>
      </c>
      <c r="AS763" s="11">
        <v>0</v>
      </c>
      <c r="AT763" s="11">
        <v>0</v>
      </c>
      <c r="AU763" s="11">
        <v>0</v>
      </c>
      <c r="AV763" s="11">
        <v>4206.3590000000004</v>
      </c>
    </row>
    <row r="764" spans="2:48" x14ac:dyDescent="0.2">
      <c r="B764" t="s">
        <v>150</v>
      </c>
      <c r="H764" s="12" t="s">
        <v>64</v>
      </c>
      <c r="I764" s="12" t="s">
        <v>64</v>
      </c>
      <c r="J764" s="12" t="s">
        <v>64</v>
      </c>
      <c r="K764" s="17">
        <f t="shared" si="2963"/>
        <v>-27.331</v>
      </c>
      <c r="L764" s="12" t="s">
        <v>64</v>
      </c>
      <c r="M764" s="12" t="s">
        <v>64</v>
      </c>
      <c r="N764" s="12" t="s">
        <v>64</v>
      </c>
      <c r="O764" s="17">
        <f t="shared" si="2964"/>
        <v>-27.436</v>
      </c>
      <c r="P764" s="12" t="s">
        <v>64</v>
      </c>
      <c r="Q764" s="12" t="s">
        <v>64</v>
      </c>
      <c r="R764" s="12" t="s">
        <v>64</v>
      </c>
      <c r="S764" s="17">
        <f t="shared" si="2965"/>
        <v>-43.045999999999999</v>
      </c>
      <c r="T764" s="12" t="s">
        <v>64</v>
      </c>
      <c r="U764" s="12" t="s">
        <v>64</v>
      </c>
      <c r="V764" s="12" t="s">
        <v>64</v>
      </c>
      <c r="W764" s="17">
        <f t="shared" si="2966"/>
        <v>-3287.232</v>
      </c>
      <c r="X764" s="12" t="s">
        <v>64</v>
      </c>
      <c r="Y764" s="12" t="s">
        <v>64</v>
      </c>
      <c r="Z764" s="12" t="s">
        <v>64</v>
      </c>
      <c r="AA764" s="17">
        <f t="shared" si="2967"/>
        <v>-635.71600000000001</v>
      </c>
      <c r="AB764" s="12" t="s">
        <v>64</v>
      </c>
      <c r="AC764" s="12" t="s">
        <v>64</v>
      </c>
      <c r="AD764" s="12" t="s">
        <v>64</v>
      </c>
      <c r="AE764" s="17">
        <f t="shared" si="2968"/>
        <v>-583.87900000000002</v>
      </c>
      <c r="AF764" s="12" t="s">
        <v>64</v>
      </c>
      <c r="AG764" s="12" t="s">
        <v>64</v>
      </c>
      <c r="AH764" s="12" t="s">
        <v>64</v>
      </c>
      <c r="AO764" s="11">
        <v>-2.3010000000000002</v>
      </c>
      <c r="AP764" s="11">
        <v>-8.9209999999999994</v>
      </c>
      <c r="AQ764" s="11">
        <v>-27.331</v>
      </c>
      <c r="AR764" s="11">
        <v>-27.436</v>
      </c>
      <c r="AS764" s="11">
        <v>-43.045999999999999</v>
      </c>
      <c r="AT764" s="11">
        <v>-3287.232</v>
      </c>
      <c r="AU764" s="11">
        <v>-635.71600000000001</v>
      </c>
      <c r="AV764" s="12">
        <v>-583.87900000000002</v>
      </c>
    </row>
    <row r="765" spans="2:48" x14ac:dyDescent="0.2">
      <c r="B765" t="s">
        <v>151</v>
      </c>
      <c r="H765" s="12" t="s">
        <v>64</v>
      </c>
      <c r="I765" s="12" t="s">
        <v>64</v>
      </c>
      <c r="J765" s="12" t="s">
        <v>64</v>
      </c>
      <c r="K765" s="17">
        <f t="shared" si="2963"/>
        <v>3.9E-2</v>
      </c>
      <c r="L765" s="12" t="s">
        <v>64</v>
      </c>
      <c r="M765" s="12" t="s">
        <v>64</v>
      </c>
      <c r="N765" s="12" t="s">
        <v>64</v>
      </c>
      <c r="O765" s="17">
        <f t="shared" si="2964"/>
        <v>0.47499999999999998</v>
      </c>
      <c r="P765" s="12" t="s">
        <v>64</v>
      </c>
      <c r="Q765" s="12" t="s">
        <v>64</v>
      </c>
      <c r="R765" s="12" t="s">
        <v>64</v>
      </c>
      <c r="S765" s="17">
        <f t="shared" si="2965"/>
        <v>5.0999999999999997E-2</v>
      </c>
      <c r="T765" s="12" t="s">
        <v>64</v>
      </c>
      <c r="U765" s="12" t="s">
        <v>64</v>
      </c>
      <c r="V765" s="12" t="s">
        <v>64</v>
      </c>
      <c r="W765" s="17">
        <f t="shared" si="2966"/>
        <v>0.39400000000000002</v>
      </c>
      <c r="X765" s="12" t="s">
        <v>64</v>
      </c>
      <c r="Y765" s="12" t="s">
        <v>64</v>
      </c>
      <c r="Z765" s="12" t="s">
        <v>64</v>
      </c>
      <c r="AA765" s="17">
        <f t="shared" si="2967"/>
        <v>0.04</v>
      </c>
      <c r="AB765" s="12" t="s">
        <v>64</v>
      </c>
      <c r="AC765" s="12" t="s">
        <v>64</v>
      </c>
      <c r="AD765" s="12" t="s">
        <v>64</v>
      </c>
      <c r="AE765" s="17">
        <f t="shared" si="2968"/>
        <v>0.45</v>
      </c>
      <c r="AF765" s="12" t="s">
        <v>64</v>
      </c>
      <c r="AG765" s="12" t="s">
        <v>64</v>
      </c>
      <c r="AH765" s="12" t="s">
        <v>64</v>
      </c>
      <c r="AO765" s="11">
        <v>0</v>
      </c>
      <c r="AP765" s="11">
        <v>0.36199999999999999</v>
      </c>
      <c r="AQ765" s="11">
        <v>3.9E-2</v>
      </c>
      <c r="AR765" s="11">
        <v>0.47499999999999998</v>
      </c>
      <c r="AS765" s="11">
        <v>5.0999999999999997E-2</v>
      </c>
      <c r="AT765" s="11">
        <v>0.39400000000000002</v>
      </c>
      <c r="AU765" s="11">
        <v>0.04</v>
      </c>
      <c r="AV765" s="12">
        <v>0.45</v>
      </c>
    </row>
    <row r="766" spans="2:48" x14ac:dyDescent="0.2">
      <c r="B766" t="s">
        <v>152</v>
      </c>
      <c r="H766" s="12" t="s">
        <v>64</v>
      </c>
      <c r="I766" s="12" t="s">
        <v>64</v>
      </c>
      <c r="J766" s="12" t="s">
        <v>64</v>
      </c>
      <c r="K766" s="17">
        <f t="shared" si="2963"/>
        <v>159.79</v>
      </c>
      <c r="L766" s="12" t="s">
        <v>64</v>
      </c>
      <c r="M766" s="12" t="s">
        <v>64</v>
      </c>
      <c r="N766" s="12" t="s">
        <v>64</v>
      </c>
      <c r="O766" s="17">
        <f t="shared" si="2964"/>
        <v>0</v>
      </c>
      <c r="P766" s="12" t="s">
        <v>64</v>
      </c>
      <c r="Q766" s="12" t="s">
        <v>64</v>
      </c>
      <c r="R766" s="12" t="s">
        <v>64</v>
      </c>
      <c r="S766" s="17">
        <f t="shared" si="2965"/>
        <v>0</v>
      </c>
      <c r="T766" s="12" t="s">
        <v>64</v>
      </c>
      <c r="U766" s="12" t="s">
        <v>64</v>
      </c>
      <c r="V766" s="12" t="s">
        <v>64</v>
      </c>
      <c r="W766" s="17">
        <f t="shared" si="2966"/>
        <v>0</v>
      </c>
      <c r="X766" s="12" t="s">
        <v>64</v>
      </c>
      <c r="Y766" s="12" t="s">
        <v>64</v>
      </c>
      <c r="Z766" s="12" t="s">
        <v>64</v>
      </c>
      <c r="AA766" s="17">
        <f t="shared" si="2967"/>
        <v>0</v>
      </c>
      <c r="AB766" s="12" t="s">
        <v>64</v>
      </c>
      <c r="AC766" s="12" t="s">
        <v>64</v>
      </c>
      <c r="AD766" s="12" t="s">
        <v>64</v>
      </c>
      <c r="AE766" s="17">
        <f t="shared" si="2968"/>
        <v>0</v>
      </c>
      <c r="AF766" s="12" t="s">
        <v>64</v>
      </c>
      <c r="AG766" s="12" t="s">
        <v>64</v>
      </c>
      <c r="AH766" s="12" t="s">
        <v>64</v>
      </c>
      <c r="AO766" s="11">
        <v>0</v>
      </c>
      <c r="AP766" s="11">
        <v>0</v>
      </c>
      <c r="AQ766" s="11">
        <v>159.79</v>
      </c>
      <c r="AR766" s="11">
        <v>0</v>
      </c>
      <c r="AS766" s="11">
        <v>0</v>
      </c>
      <c r="AT766" s="11">
        <v>0</v>
      </c>
      <c r="AU766" s="11">
        <v>0</v>
      </c>
      <c r="AV766" s="12">
        <v>0</v>
      </c>
    </row>
    <row r="767" spans="2:48" x14ac:dyDescent="0.2">
      <c r="B767" t="s">
        <v>153</v>
      </c>
      <c r="H767" s="12" t="s">
        <v>64</v>
      </c>
      <c r="I767" s="12" t="s">
        <v>64</v>
      </c>
      <c r="J767" s="12" t="s">
        <v>64</v>
      </c>
      <c r="K767" s="17">
        <f t="shared" si="2963"/>
        <v>-35</v>
      </c>
      <c r="L767" s="12" t="s">
        <v>64</v>
      </c>
      <c r="M767" s="12" t="s">
        <v>64</v>
      </c>
      <c r="N767" s="12" t="s">
        <v>64</v>
      </c>
      <c r="O767" s="17">
        <f t="shared" si="2964"/>
        <v>35</v>
      </c>
      <c r="P767" s="12" t="s">
        <v>64</v>
      </c>
      <c r="Q767" s="12" t="s">
        <v>64</v>
      </c>
      <c r="R767" s="12" t="s">
        <v>64</v>
      </c>
      <c r="S767" s="17">
        <f t="shared" si="2965"/>
        <v>-238</v>
      </c>
      <c r="T767" s="12" t="s">
        <v>64</v>
      </c>
      <c r="U767" s="12" t="s">
        <v>64</v>
      </c>
      <c r="V767" s="12" t="s">
        <v>64</v>
      </c>
      <c r="W767" s="17">
        <f t="shared" si="2966"/>
        <v>0</v>
      </c>
      <c r="X767" s="12" t="s">
        <v>64</v>
      </c>
      <c r="Y767" s="12" t="s">
        <v>64</v>
      </c>
      <c r="Z767" s="12" t="s">
        <v>64</v>
      </c>
      <c r="AA767" s="17">
        <f t="shared" si="2967"/>
        <v>0</v>
      </c>
      <c r="AB767" s="12" t="s">
        <v>64</v>
      </c>
      <c r="AC767" s="12" t="s">
        <v>64</v>
      </c>
      <c r="AD767" s="12" t="s">
        <v>64</v>
      </c>
      <c r="AE767" s="17">
        <f t="shared" si="2968"/>
        <v>0</v>
      </c>
      <c r="AF767" s="12" t="s">
        <v>64</v>
      </c>
      <c r="AG767" s="12" t="s">
        <v>64</v>
      </c>
      <c r="AH767" s="12" t="s">
        <v>64</v>
      </c>
      <c r="AO767" s="11">
        <v>0</v>
      </c>
      <c r="AP767" s="11">
        <v>0</v>
      </c>
      <c r="AQ767" s="11">
        <v>-35</v>
      </c>
      <c r="AR767" s="11">
        <v>35</v>
      </c>
      <c r="AS767" s="11">
        <v>-238</v>
      </c>
      <c r="AT767" s="11">
        <v>0</v>
      </c>
      <c r="AU767" s="11">
        <v>0</v>
      </c>
      <c r="AV767" s="12">
        <v>0</v>
      </c>
    </row>
    <row r="768" spans="2:48" x14ac:dyDescent="0.2">
      <c r="B768" t="s">
        <v>154</v>
      </c>
      <c r="H768" s="12" t="s">
        <v>64</v>
      </c>
      <c r="I768" s="12" t="s">
        <v>64</v>
      </c>
      <c r="J768" s="12" t="s">
        <v>64</v>
      </c>
      <c r="K768" s="17">
        <f t="shared" si="2963"/>
        <v>0</v>
      </c>
      <c r="L768" s="12" t="s">
        <v>64</v>
      </c>
      <c r="M768" s="12" t="s">
        <v>64</v>
      </c>
      <c r="N768" s="12" t="s">
        <v>64</v>
      </c>
      <c r="O768" s="17">
        <f t="shared" si="2964"/>
        <v>0</v>
      </c>
      <c r="P768" s="12" t="s">
        <v>64</v>
      </c>
      <c r="Q768" s="12" t="s">
        <v>64</v>
      </c>
      <c r="R768" s="12" t="s">
        <v>64</v>
      </c>
      <c r="S768" s="17">
        <f t="shared" si="2965"/>
        <v>0</v>
      </c>
      <c r="T768" s="12" t="s">
        <v>64</v>
      </c>
      <c r="U768" s="12" t="s">
        <v>64</v>
      </c>
      <c r="V768" s="12" t="s">
        <v>64</v>
      </c>
      <c r="W768" s="17">
        <f t="shared" si="2966"/>
        <v>0</v>
      </c>
      <c r="X768" s="12" t="s">
        <v>64</v>
      </c>
      <c r="Y768" s="12" t="s">
        <v>64</v>
      </c>
      <c r="Z768" s="12" t="s">
        <v>64</v>
      </c>
      <c r="AA768" s="17">
        <f t="shared" si="2967"/>
        <v>0</v>
      </c>
      <c r="AB768" s="12" t="s">
        <v>64</v>
      </c>
      <c r="AC768" s="12" t="s">
        <v>64</v>
      </c>
      <c r="AD768" s="12" t="s">
        <v>64</v>
      </c>
      <c r="AE768" s="17">
        <f t="shared" si="2968"/>
        <v>0</v>
      </c>
      <c r="AF768" s="12" t="s">
        <v>64</v>
      </c>
      <c r="AG768" s="12" t="s">
        <v>64</v>
      </c>
      <c r="AH768" s="12" t="s">
        <v>64</v>
      </c>
      <c r="AO768" s="11">
        <v>0</v>
      </c>
      <c r="AP768" s="11">
        <v>0</v>
      </c>
      <c r="AQ768" s="11">
        <v>0</v>
      </c>
      <c r="AR768" s="11">
        <v>0</v>
      </c>
      <c r="AS768" s="11">
        <v>0</v>
      </c>
      <c r="AT768" s="11">
        <v>0</v>
      </c>
      <c r="AU768" s="11">
        <v>0</v>
      </c>
      <c r="AV768" s="12">
        <v>0</v>
      </c>
    </row>
    <row r="769" spans="2:48" x14ac:dyDescent="0.2">
      <c r="B769" t="s">
        <v>155</v>
      </c>
      <c r="H769" s="12" t="s">
        <v>64</v>
      </c>
      <c r="I769" s="12" t="s">
        <v>64</v>
      </c>
      <c r="J769" s="12" t="s">
        <v>64</v>
      </c>
      <c r="K769" s="17">
        <f t="shared" si="2963"/>
        <v>0</v>
      </c>
      <c r="L769" s="12" t="s">
        <v>64</v>
      </c>
      <c r="M769" s="12" t="s">
        <v>64</v>
      </c>
      <c r="N769" s="12" t="s">
        <v>64</v>
      </c>
      <c r="O769" s="17">
        <f t="shared" si="2964"/>
        <v>-459.63200000000001</v>
      </c>
      <c r="P769" s="12" t="s">
        <v>64</v>
      </c>
      <c r="Q769" s="12" t="s">
        <v>64</v>
      </c>
      <c r="R769" s="12" t="s">
        <v>64</v>
      </c>
      <c r="S769" s="17">
        <f t="shared" si="2965"/>
        <v>0</v>
      </c>
      <c r="T769" s="12" t="s">
        <v>64</v>
      </c>
      <c r="U769" s="12" t="s">
        <v>64</v>
      </c>
      <c r="V769" s="12" t="s">
        <v>64</v>
      </c>
      <c r="W769" s="17">
        <f t="shared" si="2966"/>
        <v>0</v>
      </c>
      <c r="X769" s="12" t="s">
        <v>64</v>
      </c>
      <c r="Y769" s="12" t="s">
        <v>64</v>
      </c>
      <c r="Z769" s="12" t="s">
        <v>64</v>
      </c>
      <c r="AA769" s="17">
        <f t="shared" si="2967"/>
        <v>0</v>
      </c>
      <c r="AB769" s="12" t="s">
        <v>64</v>
      </c>
      <c r="AC769" s="12" t="s">
        <v>64</v>
      </c>
      <c r="AD769" s="12" t="s">
        <v>64</v>
      </c>
      <c r="AE769" s="17">
        <f t="shared" si="2968"/>
        <v>0</v>
      </c>
      <c r="AF769" s="12" t="s">
        <v>64</v>
      </c>
      <c r="AG769" s="12" t="s">
        <v>64</v>
      </c>
      <c r="AH769" s="12" t="s">
        <v>64</v>
      </c>
      <c r="AO769" s="11">
        <v>0</v>
      </c>
      <c r="AP769" s="11">
        <v>-159.79</v>
      </c>
      <c r="AQ769" s="11"/>
      <c r="AR769" s="11">
        <v>-459.63200000000001</v>
      </c>
      <c r="AS769" s="11">
        <v>0</v>
      </c>
      <c r="AT769" s="11">
        <v>0</v>
      </c>
      <c r="AU769" s="11">
        <v>0</v>
      </c>
      <c r="AV769" s="12">
        <v>0</v>
      </c>
    </row>
    <row r="770" spans="2:48" ht="13.5" x14ac:dyDescent="0.35">
      <c r="B770" t="s">
        <v>96</v>
      </c>
      <c r="H770" s="23" t="s">
        <v>64</v>
      </c>
      <c r="I770" s="23" t="s">
        <v>64</v>
      </c>
      <c r="J770" s="23" t="s">
        <v>64</v>
      </c>
      <c r="K770" s="36">
        <f t="shared" si="2963"/>
        <v>0</v>
      </c>
      <c r="L770" s="23" t="s">
        <v>64</v>
      </c>
      <c r="M770" s="23" t="s">
        <v>64</v>
      </c>
      <c r="N770" s="23" t="s">
        <v>64</v>
      </c>
      <c r="O770" s="36">
        <f t="shared" si="2964"/>
        <v>0</v>
      </c>
      <c r="P770" s="23" t="s">
        <v>64</v>
      </c>
      <c r="Q770" s="23" t="s">
        <v>64</v>
      </c>
      <c r="R770" s="23" t="s">
        <v>64</v>
      </c>
      <c r="S770" s="36">
        <f t="shared" si="2965"/>
        <v>0</v>
      </c>
      <c r="T770" s="23" t="s">
        <v>64</v>
      </c>
      <c r="U770" s="23" t="s">
        <v>64</v>
      </c>
      <c r="V770" s="23" t="s">
        <v>64</v>
      </c>
      <c r="W770" s="36">
        <f t="shared" si="2966"/>
        <v>445.03699999999998</v>
      </c>
      <c r="X770" s="23" t="s">
        <v>64</v>
      </c>
      <c r="Y770" s="23" t="s">
        <v>64</v>
      </c>
      <c r="Z770" s="23" t="s">
        <v>64</v>
      </c>
      <c r="AA770" s="36">
        <f t="shared" si="2967"/>
        <v>0</v>
      </c>
      <c r="AB770" s="23" t="s">
        <v>64</v>
      </c>
      <c r="AC770" s="23" t="s">
        <v>64</v>
      </c>
      <c r="AD770" s="23" t="s">
        <v>64</v>
      </c>
      <c r="AE770" s="36">
        <f t="shared" si="2968"/>
        <v>129.78899999999999</v>
      </c>
      <c r="AF770" s="23" t="s">
        <v>64</v>
      </c>
      <c r="AG770" s="23" t="s">
        <v>64</v>
      </c>
      <c r="AH770" s="23" t="s">
        <v>64</v>
      </c>
      <c r="AO770" s="13">
        <v>0</v>
      </c>
      <c r="AP770" s="13">
        <v>0</v>
      </c>
      <c r="AQ770" s="13">
        <v>0</v>
      </c>
      <c r="AR770" s="13">
        <v>0</v>
      </c>
      <c r="AS770" s="13">
        <v>0</v>
      </c>
      <c r="AT770" s="13">
        <v>445.03699999999998</v>
      </c>
      <c r="AU770" s="13">
        <v>0</v>
      </c>
      <c r="AV770" s="23">
        <v>129.78899999999999</v>
      </c>
    </row>
    <row r="771" spans="2:48" s="1" customFormat="1" x14ac:dyDescent="0.2">
      <c r="B771" s="38" t="s">
        <v>174</v>
      </c>
      <c r="H771" s="39">
        <v>-801.55600000000004</v>
      </c>
      <c r="I771" s="39">
        <v>-1092.7059999999999</v>
      </c>
      <c r="J771" s="39">
        <v>-7309.8739999999998</v>
      </c>
      <c r="K771" s="49">
        <f t="shared" ref="K771" si="2974">+AQ771</f>
        <v>-7548.509</v>
      </c>
      <c r="L771" s="39">
        <v>457.47300000000001</v>
      </c>
      <c r="M771" s="39">
        <v>-681.95</v>
      </c>
      <c r="N771" s="39">
        <v>-16857.806</v>
      </c>
      <c r="O771" s="49">
        <f t="shared" si="2964"/>
        <v>-28319.678</v>
      </c>
      <c r="P771" s="39">
        <v>-1584.192</v>
      </c>
      <c r="Q771" s="39">
        <v>-11280.01</v>
      </c>
      <c r="R771" s="39">
        <v>-11735.064</v>
      </c>
      <c r="S771" s="49">
        <f t="shared" si="2965"/>
        <v>-38357.901000000005</v>
      </c>
      <c r="T771" s="39">
        <v>-5621.0469999999996</v>
      </c>
      <c r="U771" s="39">
        <v>-9105.1029999999992</v>
      </c>
      <c r="V771" s="39">
        <v>-22869.86</v>
      </c>
      <c r="W771" s="49">
        <f t="shared" si="2966"/>
        <v>-35562.365000000005</v>
      </c>
      <c r="X771" s="39">
        <v>-4852.0889999999999</v>
      </c>
      <c r="Y771" s="39">
        <v>-13445.36</v>
      </c>
      <c r="Z771" s="39">
        <v>-13801.754000000001</v>
      </c>
      <c r="AA771" s="49">
        <f t="shared" si="2967"/>
        <v>-22361.670000000009</v>
      </c>
      <c r="AB771" s="39">
        <v>-22620.246999999999</v>
      </c>
      <c r="AC771" s="39">
        <v>-34140.107000000004</v>
      </c>
      <c r="AD771" s="39">
        <v>-38960.607000000004</v>
      </c>
      <c r="AE771" s="49">
        <f t="shared" si="2968"/>
        <v>-55431.278000000013</v>
      </c>
      <c r="AF771" s="39">
        <v>-28290.120999999999</v>
      </c>
      <c r="AG771" s="39">
        <v>-42622.1</v>
      </c>
      <c r="AH771" s="39">
        <v>-87810.778999999995</v>
      </c>
      <c r="AO771" s="48">
        <f>SUM(AO757:AO770)</f>
        <v>-307.30099999999999</v>
      </c>
      <c r="AP771" s="48">
        <f t="shared" ref="AP771:AV771" si="2975">SUM(AP757:AP770)</f>
        <v>71.65100000000001</v>
      </c>
      <c r="AQ771" s="48">
        <f t="shared" si="2975"/>
        <v>-7548.509</v>
      </c>
      <c r="AR771" s="48">
        <f t="shared" si="2975"/>
        <v>-28319.678</v>
      </c>
      <c r="AS771" s="48">
        <f t="shared" si="2975"/>
        <v>-38357.901000000005</v>
      </c>
      <c r="AT771" s="48">
        <f t="shared" si="2975"/>
        <v>-35562.365000000005</v>
      </c>
      <c r="AU771" s="48">
        <f t="shared" si="2975"/>
        <v>-22361.670000000009</v>
      </c>
      <c r="AV771" s="48">
        <f t="shared" si="2975"/>
        <v>-55431.278000000013</v>
      </c>
    </row>
    <row r="772" spans="2:48" x14ac:dyDescent="0.2">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O772" s="11"/>
      <c r="AP772" s="11"/>
      <c r="AQ772" s="11"/>
      <c r="AR772" s="11"/>
      <c r="AS772" s="11"/>
      <c r="AT772" s="11"/>
      <c r="AU772" s="11"/>
      <c r="AV772" s="11"/>
    </row>
    <row r="773" spans="2:48" x14ac:dyDescent="0.2">
      <c r="B773" s="1" t="s">
        <v>175</v>
      </c>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O773" s="11"/>
      <c r="AP773" s="11"/>
      <c r="AQ773" s="11"/>
      <c r="AR773" s="11"/>
      <c r="AS773" s="11"/>
      <c r="AT773" s="11"/>
      <c r="AU773" s="11"/>
      <c r="AV773" s="11"/>
    </row>
    <row r="774" spans="2:48" x14ac:dyDescent="0.2">
      <c r="B774" t="s">
        <v>156</v>
      </c>
      <c r="H774" s="12" t="s">
        <v>64</v>
      </c>
      <c r="I774" s="12" t="s">
        <v>64</v>
      </c>
      <c r="J774" s="12" t="s">
        <v>64</v>
      </c>
      <c r="K774" s="17">
        <f t="shared" ref="K774:K789" si="2976">+AQ774</f>
        <v>0</v>
      </c>
      <c r="L774" s="12" t="s">
        <v>64</v>
      </c>
      <c r="M774" s="12" t="s">
        <v>64</v>
      </c>
      <c r="N774" s="12" t="s">
        <v>64</v>
      </c>
      <c r="O774" s="17">
        <f t="shared" ref="O774:O790" si="2977">+AR774</f>
        <v>0</v>
      </c>
      <c r="P774" s="12" t="s">
        <v>64</v>
      </c>
      <c r="Q774" s="12" t="s">
        <v>64</v>
      </c>
      <c r="R774" s="12" t="s">
        <v>64</v>
      </c>
      <c r="S774" s="17">
        <f t="shared" ref="S774:S790" si="2978">+AS774</f>
        <v>0</v>
      </c>
      <c r="T774" s="12" t="s">
        <v>64</v>
      </c>
      <c r="U774" s="12" t="s">
        <v>64</v>
      </c>
      <c r="V774" s="12" t="s">
        <v>64</v>
      </c>
      <c r="W774" s="17">
        <f t="shared" ref="W774:W790" si="2979">+AT774</f>
        <v>0</v>
      </c>
      <c r="X774" s="12" t="s">
        <v>64</v>
      </c>
      <c r="Y774" s="12" t="s">
        <v>64</v>
      </c>
      <c r="Z774" s="12" t="s">
        <v>64</v>
      </c>
      <c r="AA774" s="17">
        <f t="shared" ref="AA774:AA790" si="2980">+AU774</f>
        <v>0</v>
      </c>
      <c r="AB774" s="12" t="s">
        <v>64</v>
      </c>
      <c r="AC774" s="12" t="s">
        <v>64</v>
      </c>
      <c r="AD774" s="12" t="s">
        <v>64</v>
      </c>
      <c r="AE774" s="17">
        <f t="shared" ref="AE774:AE790" si="2981">+AV774</f>
        <v>0</v>
      </c>
      <c r="AF774" s="12" t="s">
        <v>64</v>
      </c>
      <c r="AG774" s="12" t="s">
        <v>64</v>
      </c>
      <c r="AH774" s="12" t="s">
        <v>64</v>
      </c>
      <c r="AO774" s="11">
        <v>-18.326000000000001</v>
      </c>
      <c r="AP774" s="11">
        <v>0</v>
      </c>
      <c r="AQ774" s="11">
        <v>0</v>
      </c>
      <c r="AR774" s="11">
        <v>0</v>
      </c>
      <c r="AS774" s="11">
        <v>0</v>
      </c>
      <c r="AT774" s="11">
        <v>0</v>
      </c>
      <c r="AU774" s="11">
        <v>0</v>
      </c>
      <c r="AV774" s="12">
        <v>0</v>
      </c>
    </row>
    <row r="775" spans="2:48" x14ac:dyDescent="0.2">
      <c r="B775" t="s">
        <v>157</v>
      </c>
      <c r="H775" s="12" t="s">
        <v>64</v>
      </c>
      <c r="I775" s="12" t="s">
        <v>64</v>
      </c>
      <c r="J775" s="12" t="s">
        <v>64</v>
      </c>
      <c r="K775" s="17">
        <f t="shared" si="2976"/>
        <v>5824.5680000000002</v>
      </c>
      <c r="L775" s="12" t="s">
        <v>64</v>
      </c>
      <c r="M775" s="12" t="s">
        <v>64</v>
      </c>
      <c r="N775" s="12" t="s">
        <v>64</v>
      </c>
      <c r="O775" s="17">
        <f t="shared" si="2977"/>
        <v>0</v>
      </c>
      <c r="P775" s="12" t="s">
        <v>64</v>
      </c>
      <c r="Q775" s="12" t="s">
        <v>64</v>
      </c>
      <c r="R775" s="12" t="s">
        <v>64</v>
      </c>
      <c r="S775" s="17">
        <f t="shared" si="2978"/>
        <v>0</v>
      </c>
      <c r="T775" s="12" t="s">
        <v>64</v>
      </c>
      <c r="U775" s="12" t="s">
        <v>64</v>
      </c>
      <c r="V775" s="12" t="s">
        <v>64</v>
      </c>
      <c r="W775" s="17">
        <f t="shared" si="2979"/>
        <v>0</v>
      </c>
      <c r="X775" s="12" t="s">
        <v>64</v>
      </c>
      <c r="Y775" s="12" t="s">
        <v>64</v>
      </c>
      <c r="Z775" s="12" t="s">
        <v>64</v>
      </c>
      <c r="AA775" s="17">
        <f t="shared" si="2980"/>
        <v>0</v>
      </c>
      <c r="AB775" s="12" t="s">
        <v>64</v>
      </c>
      <c r="AC775" s="12" t="s">
        <v>64</v>
      </c>
      <c r="AD775" s="12" t="s">
        <v>64</v>
      </c>
      <c r="AE775" s="17">
        <f t="shared" si="2981"/>
        <v>0</v>
      </c>
      <c r="AF775" s="12" t="s">
        <v>64</v>
      </c>
      <c r="AG775" s="12" t="s">
        <v>64</v>
      </c>
      <c r="AH775" s="12" t="s">
        <v>64</v>
      </c>
      <c r="AO775" s="11">
        <v>511.911</v>
      </c>
      <c r="AP775" s="11">
        <v>1446.9059999999999</v>
      </c>
      <c r="AQ775" s="11">
        <v>5824.5680000000002</v>
      </c>
      <c r="AR775" s="11">
        <v>0</v>
      </c>
      <c r="AS775" s="11">
        <v>0</v>
      </c>
      <c r="AT775" s="11">
        <v>0</v>
      </c>
      <c r="AU775" s="11">
        <v>0</v>
      </c>
      <c r="AV775" s="12">
        <v>0</v>
      </c>
    </row>
    <row r="776" spans="2:48" x14ac:dyDescent="0.2">
      <c r="B776" t="s">
        <v>448</v>
      </c>
      <c r="H776" s="12"/>
      <c r="I776" s="12"/>
      <c r="J776" s="12"/>
      <c r="K776" s="17"/>
      <c r="L776" s="12" t="s">
        <v>64</v>
      </c>
      <c r="M776" s="12" t="s">
        <v>64</v>
      </c>
      <c r="N776" s="12" t="s">
        <v>64</v>
      </c>
      <c r="O776" s="17">
        <f t="shared" ref="O776" si="2982">+AR776</f>
        <v>0</v>
      </c>
      <c r="P776" s="12" t="s">
        <v>64</v>
      </c>
      <c r="Q776" s="12" t="s">
        <v>64</v>
      </c>
      <c r="R776" s="12" t="s">
        <v>64</v>
      </c>
      <c r="S776" s="17">
        <f t="shared" ref="S776" si="2983">+AS776</f>
        <v>0</v>
      </c>
      <c r="T776" s="12" t="s">
        <v>64</v>
      </c>
      <c r="U776" s="12" t="s">
        <v>64</v>
      </c>
      <c r="V776" s="12" t="s">
        <v>64</v>
      </c>
      <c r="W776" s="17">
        <f t="shared" ref="W776" si="2984">+AT776</f>
        <v>0</v>
      </c>
      <c r="X776" s="12" t="s">
        <v>64</v>
      </c>
      <c r="Y776" s="12" t="s">
        <v>64</v>
      </c>
      <c r="Z776" s="12" t="s">
        <v>64</v>
      </c>
      <c r="AA776" s="17">
        <f t="shared" ref="AA776" si="2985">+AU776</f>
        <v>0</v>
      </c>
      <c r="AB776" s="12" t="s">
        <v>64</v>
      </c>
      <c r="AC776" s="12" t="s">
        <v>64</v>
      </c>
      <c r="AD776" s="12" t="s">
        <v>64</v>
      </c>
      <c r="AE776" s="17">
        <f t="shared" ref="AE776" si="2986">+AV776</f>
        <v>-8968.8169999999991</v>
      </c>
      <c r="AF776" s="12" t="s">
        <v>64</v>
      </c>
      <c r="AG776" s="12" t="s">
        <v>64</v>
      </c>
      <c r="AH776" s="12" t="s">
        <v>64</v>
      </c>
      <c r="AO776" s="11">
        <v>0</v>
      </c>
      <c r="AP776" s="11">
        <v>0</v>
      </c>
      <c r="AQ776" s="11">
        <v>0</v>
      </c>
      <c r="AR776" s="11">
        <v>0</v>
      </c>
      <c r="AS776" s="11">
        <v>0</v>
      </c>
      <c r="AT776" s="11">
        <v>0</v>
      </c>
      <c r="AU776" s="11">
        <v>0</v>
      </c>
      <c r="AV776" s="11">
        <v>-8968.8169999999991</v>
      </c>
    </row>
    <row r="777" spans="2:48" x14ac:dyDescent="0.2">
      <c r="B777" t="s">
        <v>158</v>
      </c>
      <c r="H777" s="12" t="s">
        <v>64</v>
      </c>
      <c r="I777" s="12" t="s">
        <v>64</v>
      </c>
      <c r="J777" s="12" t="s">
        <v>64</v>
      </c>
      <c r="K777" s="17">
        <f t="shared" si="2976"/>
        <v>-3.8420000000000001</v>
      </c>
      <c r="L777" s="12" t="s">
        <v>64</v>
      </c>
      <c r="M777" s="12" t="s">
        <v>64</v>
      </c>
      <c r="N777" s="12" t="s">
        <v>64</v>
      </c>
      <c r="O777" s="17">
        <f t="shared" si="2977"/>
        <v>0</v>
      </c>
      <c r="P777" s="12" t="s">
        <v>64</v>
      </c>
      <c r="Q777" s="12" t="s">
        <v>64</v>
      </c>
      <c r="R777" s="12" t="s">
        <v>64</v>
      </c>
      <c r="S777" s="17">
        <f t="shared" si="2978"/>
        <v>0</v>
      </c>
      <c r="T777" s="12" t="s">
        <v>64</v>
      </c>
      <c r="U777" s="12" t="s">
        <v>64</v>
      </c>
      <c r="V777" s="12" t="s">
        <v>64</v>
      </c>
      <c r="W777" s="17">
        <f t="shared" si="2979"/>
        <v>0</v>
      </c>
      <c r="X777" s="12" t="s">
        <v>64</v>
      </c>
      <c r="Y777" s="12" t="s">
        <v>64</v>
      </c>
      <c r="Z777" s="12" t="s">
        <v>64</v>
      </c>
      <c r="AA777" s="17">
        <f t="shared" si="2980"/>
        <v>0</v>
      </c>
      <c r="AB777" s="12" t="s">
        <v>64</v>
      </c>
      <c r="AC777" s="12" t="s">
        <v>64</v>
      </c>
      <c r="AD777" s="12" t="s">
        <v>64</v>
      </c>
      <c r="AE777" s="17">
        <f t="shared" si="2981"/>
        <v>0</v>
      </c>
      <c r="AF777" s="12" t="s">
        <v>64</v>
      </c>
      <c r="AG777" s="12" t="s">
        <v>64</v>
      </c>
      <c r="AH777" s="12" t="s">
        <v>64</v>
      </c>
      <c r="AO777" s="11">
        <v>-7.0469999999999997</v>
      </c>
      <c r="AP777" s="11">
        <v>-15.369</v>
      </c>
      <c r="AQ777" s="11">
        <v>-3.8420000000000001</v>
      </c>
      <c r="AR777" s="11">
        <v>0</v>
      </c>
      <c r="AS777" s="11">
        <v>0</v>
      </c>
      <c r="AT777" s="11">
        <v>0</v>
      </c>
      <c r="AU777" s="11">
        <v>0</v>
      </c>
      <c r="AV777" s="12">
        <v>0</v>
      </c>
    </row>
    <row r="778" spans="2:48" x14ac:dyDescent="0.2">
      <c r="B778" t="s">
        <v>159</v>
      </c>
      <c r="H778" s="12" t="s">
        <v>64</v>
      </c>
      <c r="I778" s="12" t="s">
        <v>64</v>
      </c>
      <c r="J778" s="12" t="s">
        <v>64</v>
      </c>
      <c r="K778" s="17">
        <f t="shared" si="2976"/>
        <v>-356.31299999999999</v>
      </c>
      <c r="L778" s="12" t="s">
        <v>64</v>
      </c>
      <c r="M778" s="12" t="s">
        <v>64</v>
      </c>
      <c r="N778" s="12" t="s">
        <v>64</v>
      </c>
      <c r="O778" s="17">
        <f t="shared" si="2977"/>
        <v>0</v>
      </c>
      <c r="P778" s="12" t="s">
        <v>64</v>
      </c>
      <c r="Q778" s="12" t="s">
        <v>64</v>
      </c>
      <c r="R778" s="12" t="s">
        <v>64</v>
      </c>
      <c r="S778" s="17">
        <f t="shared" si="2978"/>
        <v>0</v>
      </c>
      <c r="T778" s="12" t="s">
        <v>64</v>
      </c>
      <c r="U778" s="12" t="s">
        <v>64</v>
      </c>
      <c r="V778" s="12" t="s">
        <v>64</v>
      </c>
      <c r="W778" s="17">
        <f t="shared" si="2979"/>
        <v>0</v>
      </c>
      <c r="X778" s="12" t="s">
        <v>64</v>
      </c>
      <c r="Y778" s="12" t="s">
        <v>64</v>
      </c>
      <c r="Z778" s="12" t="s">
        <v>64</v>
      </c>
      <c r="AA778" s="17">
        <f t="shared" si="2980"/>
        <v>0</v>
      </c>
      <c r="AB778" s="12" t="s">
        <v>64</v>
      </c>
      <c r="AC778" s="12" t="s">
        <v>64</v>
      </c>
      <c r="AD778" s="12" t="s">
        <v>64</v>
      </c>
      <c r="AE778" s="17">
        <f t="shared" si="2981"/>
        <v>0</v>
      </c>
      <c r="AF778" s="12" t="s">
        <v>64</v>
      </c>
      <c r="AG778" s="12" t="s">
        <v>64</v>
      </c>
      <c r="AH778" s="12" t="s">
        <v>64</v>
      </c>
      <c r="AO778" s="11">
        <v>0</v>
      </c>
      <c r="AP778" s="11">
        <v>0</v>
      </c>
      <c r="AQ778" s="11">
        <v>-356.31299999999999</v>
      </c>
      <c r="AR778" s="11">
        <v>0</v>
      </c>
      <c r="AS778" s="11">
        <v>0</v>
      </c>
      <c r="AT778" s="11">
        <v>0</v>
      </c>
      <c r="AU778" s="11">
        <v>0</v>
      </c>
      <c r="AV778" s="12">
        <v>0</v>
      </c>
    </row>
    <row r="779" spans="2:48" x14ac:dyDescent="0.2">
      <c r="B779" t="s">
        <v>160</v>
      </c>
      <c r="H779" s="12" t="s">
        <v>64</v>
      </c>
      <c r="I779" s="12" t="s">
        <v>64</v>
      </c>
      <c r="J779" s="12" t="s">
        <v>64</v>
      </c>
      <c r="K779" s="17">
        <f t="shared" si="2976"/>
        <v>0</v>
      </c>
      <c r="L779" s="12" t="s">
        <v>64</v>
      </c>
      <c r="M779" s="12" t="s">
        <v>64</v>
      </c>
      <c r="N779" s="12" t="s">
        <v>64</v>
      </c>
      <c r="O779" s="17">
        <f t="shared" si="2977"/>
        <v>8194.5969999999998</v>
      </c>
      <c r="P779" s="12" t="s">
        <v>64</v>
      </c>
      <c r="Q779" s="12" t="s">
        <v>64</v>
      </c>
      <c r="R779" s="12" t="s">
        <v>64</v>
      </c>
      <c r="S779" s="17">
        <f t="shared" si="2978"/>
        <v>26805.437999999998</v>
      </c>
      <c r="T779" s="12" t="s">
        <v>64</v>
      </c>
      <c r="U779" s="12" t="s">
        <v>64</v>
      </c>
      <c r="V779" s="12" t="s">
        <v>64</v>
      </c>
      <c r="W779" s="17">
        <f t="shared" si="2979"/>
        <v>0</v>
      </c>
      <c r="X779" s="12" t="s">
        <v>64</v>
      </c>
      <c r="Y779" s="12" t="s">
        <v>64</v>
      </c>
      <c r="Z779" s="12" t="s">
        <v>64</v>
      </c>
      <c r="AA779" s="17">
        <f t="shared" si="2980"/>
        <v>0</v>
      </c>
      <c r="AB779" s="12" t="s">
        <v>64</v>
      </c>
      <c r="AC779" s="12" t="s">
        <v>64</v>
      </c>
      <c r="AD779" s="12" t="s">
        <v>64</v>
      </c>
      <c r="AE779" s="17">
        <f t="shared" si="2981"/>
        <v>0</v>
      </c>
      <c r="AF779" s="12" t="s">
        <v>64</v>
      </c>
      <c r="AG779" s="12" t="s">
        <v>64</v>
      </c>
      <c r="AH779" s="12" t="s">
        <v>64</v>
      </c>
      <c r="AO779" s="11">
        <v>0</v>
      </c>
      <c r="AP779" s="11">
        <v>0</v>
      </c>
      <c r="AQ779" s="11">
        <v>0</v>
      </c>
      <c r="AR779" s="11">
        <v>8194.5969999999998</v>
      </c>
      <c r="AS779" s="11">
        <v>26805.437999999998</v>
      </c>
      <c r="AT779" s="11">
        <v>0</v>
      </c>
      <c r="AU779" s="11">
        <v>0</v>
      </c>
      <c r="AV779" s="12">
        <v>0</v>
      </c>
    </row>
    <row r="780" spans="2:48" x14ac:dyDescent="0.2">
      <c r="B780" t="s">
        <v>161</v>
      </c>
      <c r="H780" s="12" t="s">
        <v>64</v>
      </c>
      <c r="I780" s="12" t="s">
        <v>64</v>
      </c>
      <c r="J780" s="12" t="s">
        <v>64</v>
      </c>
      <c r="K780" s="17">
        <f t="shared" si="2976"/>
        <v>0</v>
      </c>
      <c r="L780" s="12" t="s">
        <v>64</v>
      </c>
      <c r="M780" s="12" t="s">
        <v>64</v>
      </c>
      <c r="N780" s="12" t="s">
        <v>64</v>
      </c>
      <c r="O780" s="17">
        <f t="shared" si="2977"/>
        <v>0</v>
      </c>
      <c r="P780" s="12" t="s">
        <v>64</v>
      </c>
      <c r="Q780" s="12" t="s">
        <v>64</v>
      </c>
      <c r="R780" s="12" t="s">
        <v>64</v>
      </c>
      <c r="S780" s="17">
        <f t="shared" si="2978"/>
        <v>11063.339</v>
      </c>
      <c r="T780" s="12" t="s">
        <v>64</v>
      </c>
      <c r="U780" s="12" t="s">
        <v>64</v>
      </c>
      <c r="V780" s="12" t="s">
        <v>64</v>
      </c>
      <c r="W780" s="17">
        <f t="shared" si="2979"/>
        <v>0</v>
      </c>
      <c r="X780" s="12" t="s">
        <v>64</v>
      </c>
      <c r="Y780" s="12" t="s">
        <v>64</v>
      </c>
      <c r="Z780" s="12" t="s">
        <v>64</v>
      </c>
      <c r="AA780" s="17">
        <f t="shared" si="2980"/>
        <v>0</v>
      </c>
      <c r="AB780" s="12" t="s">
        <v>64</v>
      </c>
      <c r="AC780" s="12" t="s">
        <v>64</v>
      </c>
      <c r="AD780" s="12" t="s">
        <v>64</v>
      </c>
      <c r="AE780" s="17">
        <f t="shared" si="2981"/>
        <v>0</v>
      </c>
      <c r="AF780" s="12" t="s">
        <v>64</v>
      </c>
      <c r="AG780" s="12" t="s">
        <v>64</v>
      </c>
      <c r="AH780" s="12" t="s">
        <v>64</v>
      </c>
      <c r="AO780" s="11">
        <v>0</v>
      </c>
      <c r="AP780" s="11">
        <v>0</v>
      </c>
      <c r="AQ780" s="11">
        <v>0</v>
      </c>
      <c r="AR780" s="11"/>
      <c r="AS780" s="11">
        <v>11063.339</v>
      </c>
      <c r="AT780" s="11">
        <v>0</v>
      </c>
      <c r="AU780" s="11">
        <v>0</v>
      </c>
      <c r="AV780" s="12">
        <v>0</v>
      </c>
    </row>
    <row r="781" spans="2:48" x14ac:dyDescent="0.2">
      <c r="B781" t="s">
        <v>162</v>
      </c>
      <c r="H781" s="12" t="s">
        <v>64</v>
      </c>
      <c r="I781" s="12" t="s">
        <v>64</v>
      </c>
      <c r="J781" s="12" t="s">
        <v>64</v>
      </c>
      <c r="K781" s="17">
        <f t="shared" si="2976"/>
        <v>0</v>
      </c>
      <c r="L781" s="12" t="s">
        <v>64</v>
      </c>
      <c r="M781" s="12" t="s">
        <v>64</v>
      </c>
      <c r="N781" s="12" t="s">
        <v>64</v>
      </c>
      <c r="O781" s="17">
        <f t="shared" si="2977"/>
        <v>-200.76900000000001</v>
      </c>
      <c r="P781" s="12" t="s">
        <v>64</v>
      </c>
      <c r="Q781" s="12" t="s">
        <v>64</v>
      </c>
      <c r="R781" s="12" t="s">
        <v>64</v>
      </c>
      <c r="S781" s="17">
        <f t="shared" si="2978"/>
        <v>0</v>
      </c>
      <c r="T781" s="12" t="s">
        <v>64</v>
      </c>
      <c r="U781" s="12" t="s">
        <v>64</v>
      </c>
      <c r="V781" s="12" t="s">
        <v>64</v>
      </c>
      <c r="W781" s="17">
        <f t="shared" si="2979"/>
        <v>0</v>
      </c>
      <c r="X781" s="12" t="s">
        <v>64</v>
      </c>
      <c r="Y781" s="12" t="s">
        <v>64</v>
      </c>
      <c r="Z781" s="12" t="s">
        <v>64</v>
      </c>
      <c r="AA781" s="17">
        <f t="shared" si="2980"/>
        <v>0</v>
      </c>
      <c r="AB781" s="12" t="s">
        <v>64</v>
      </c>
      <c r="AC781" s="12" t="s">
        <v>64</v>
      </c>
      <c r="AD781" s="12" t="s">
        <v>64</v>
      </c>
      <c r="AE781" s="17">
        <f t="shared" si="2981"/>
        <v>0</v>
      </c>
      <c r="AF781" s="12" t="s">
        <v>64</v>
      </c>
      <c r="AG781" s="12" t="s">
        <v>64</v>
      </c>
      <c r="AH781" s="12" t="s">
        <v>64</v>
      </c>
      <c r="AO781" s="11">
        <v>0</v>
      </c>
      <c r="AP781" s="11">
        <v>0</v>
      </c>
      <c r="AQ781" s="11">
        <v>0</v>
      </c>
      <c r="AR781" s="11">
        <v>-200.76900000000001</v>
      </c>
      <c r="AS781" s="11">
        <v>0</v>
      </c>
      <c r="AT781" s="11">
        <v>0</v>
      </c>
      <c r="AU781" s="11">
        <v>0</v>
      </c>
      <c r="AV781" s="12">
        <v>0</v>
      </c>
    </row>
    <row r="782" spans="2:48" x14ac:dyDescent="0.2">
      <c r="B782" t="s">
        <v>163</v>
      </c>
      <c r="H782" s="12" t="s">
        <v>64</v>
      </c>
      <c r="I782" s="12" t="s">
        <v>64</v>
      </c>
      <c r="J782" s="12" t="s">
        <v>64</v>
      </c>
      <c r="K782" s="17">
        <f t="shared" si="2976"/>
        <v>0</v>
      </c>
      <c r="L782" s="12" t="s">
        <v>64</v>
      </c>
      <c r="M782" s="12" t="s">
        <v>64</v>
      </c>
      <c r="N782" s="12" t="s">
        <v>64</v>
      </c>
      <c r="O782" s="17">
        <f t="shared" si="2977"/>
        <v>7073.1009999999997</v>
      </c>
      <c r="P782" s="12" t="s">
        <v>64</v>
      </c>
      <c r="Q782" s="12" t="s">
        <v>64</v>
      </c>
      <c r="R782" s="12" t="s">
        <v>64</v>
      </c>
      <c r="S782" s="17">
        <f t="shared" si="2978"/>
        <v>13024.199000000001</v>
      </c>
      <c r="T782" s="12" t="s">
        <v>64</v>
      </c>
      <c r="U782" s="12" t="s">
        <v>64</v>
      </c>
      <c r="V782" s="12" t="s">
        <v>64</v>
      </c>
      <c r="W782" s="17">
        <f t="shared" si="2979"/>
        <v>0</v>
      </c>
      <c r="X782" s="12" t="s">
        <v>64</v>
      </c>
      <c r="Y782" s="12" t="s">
        <v>64</v>
      </c>
      <c r="Z782" s="12" t="s">
        <v>64</v>
      </c>
      <c r="AA782" s="17">
        <f t="shared" si="2980"/>
        <v>0</v>
      </c>
      <c r="AB782" s="12" t="s">
        <v>64</v>
      </c>
      <c r="AC782" s="12" t="s">
        <v>64</v>
      </c>
      <c r="AD782" s="12" t="s">
        <v>64</v>
      </c>
      <c r="AE782" s="17">
        <f t="shared" si="2981"/>
        <v>0</v>
      </c>
      <c r="AF782" s="12" t="s">
        <v>64</v>
      </c>
      <c r="AG782" s="12" t="s">
        <v>64</v>
      </c>
      <c r="AH782" s="12" t="s">
        <v>64</v>
      </c>
      <c r="AO782" s="11">
        <v>0</v>
      </c>
      <c r="AP782" s="11">
        <v>0</v>
      </c>
      <c r="AQ782" s="11">
        <v>0</v>
      </c>
      <c r="AR782" s="11">
        <v>7073.1009999999997</v>
      </c>
      <c r="AS782" s="11">
        <v>13024.199000000001</v>
      </c>
      <c r="AT782" s="11">
        <v>0</v>
      </c>
      <c r="AU782" s="11">
        <v>0</v>
      </c>
      <c r="AV782" s="12">
        <v>0</v>
      </c>
    </row>
    <row r="783" spans="2:48" x14ac:dyDescent="0.2">
      <c r="B783" t="s">
        <v>164</v>
      </c>
      <c r="H783" s="12" t="s">
        <v>64</v>
      </c>
      <c r="I783" s="12" t="s">
        <v>64</v>
      </c>
      <c r="J783" s="12" t="s">
        <v>64</v>
      </c>
      <c r="K783" s="17">
        <f t="shared" si="2976"/>
        <v>0</v>
      </c>
      <c r="L783" s="12" t="s">
        <v>64</v>
      </c>
      <c r="M783" s="12" t="s">
        <v>64</v>
      </c>
      <c r="N783" s="12" t="s">
        <v>64</v>
      </c>
      <c r="O783" s="17">
        <f t="shared" si="2977"/>
        <v>-109.22</v>
      </c>
      <c r="P783" s="12" t="s">
        <v>64</v>
      </c>
      <c r="Q783" s="12" t="s">
        <v>64</v>
      </c>
      <c r="R783" s="12" t="s">
        <v>64</v>
      </c>
      <c r="S783" s="17">
        <f t="shared" si="2978"/>
        <v>0</v>
      </c>
      <c r="T783" s="12" t="s">
        <v>64</v>
      </c>
      <c r="U783" s="12" t="s">
        <v>64</v>
      </c>
      <c r="V783" s="12" t="s">
        <v>64</v>
      </c>
      <c r="W783" s="17">
        <f t="shared" si="2979"/>
        <v>0</v>
      </c>
      <c r="X783" s="12" t="s">
        <v>64</v>
      </c>
      <c r="Y783" s="12" t="s">
        <v>64</v>
      </c>
      <c r="Z783" s="12" t="s">
        <v>64</v>
      </c>
      <c r="AA783" s="17">
        <f t="shared" si="2980"/>
        <v>0</v>
      </c>
      <c r="AB783" s="12" t="s">
        <v>64</v>
      </c>
      <c r="AC783" s="12" t="s">
        <v>64</v>
      </c>
      <c r="AD783" s="12" t="s">
        <v>64</v>
      </c>
      <c r="AE783" s="17">
        <f t="shared" si="2981"/>
        <v>0</v>
      </c>
      <c r="AF783" s="12" t="s">
        <v>64</v>
      </c>
      <c r="AG783" s="12" t="s">
        <v>64</v>
      </c>
      <c r="AH783" s="12" t="s">
        <v>64</v>
      </c>
      <c r="AO783" s="11">
        <v>0</v>
      </c>
      <c r="AP783" s="11">
        <v>0</v>
      </c>
      <c r="AQ783" s="11">
        <v>0</v>
      </c>
      <c r="AR783" s="11">
        <v>-109.22</v>
      </c>
      <c r="AS783" s="11">
        <v>0</v>
      </c>
      <c r="AT783" s="11">
        <v>0</v>
      </c>
      <c r="AU783" s="11">
        <v>0</v>
      </c>
      <c r="AV783" s="12">
        <v>0</v>
      </c>
    </row>
    <row r="784" spans="2:48" x14ac:dyDescent="0.2">
      <c r="B784" t="s">
        <v>165</v>
      </c>
      <c r="H784" s="12" t="s">
        <v>64</v>
      </c>
      <c r="I784" s="12" t="s">
        <v>64</v>
      </c>
      <c r="J784" s="12" t="s">
        <v>64</v>
      </c>
      <c r="K784" s="17">
        <f t="shared" si="2976"/>
        <v>0</v>
      </c>
      <c r="L784" s="12" t="s">
        <v>64</v>
      </c>
      <c r="M784" s="12" t="s">
        <v>64</v>
      </c>
      <c r="N784" s="12" t="s">
        <v>64</v>
      </c>
      <c r="O784" s="17">
        <f t="shared" si="2977"/>
        <v>897.02200000000005</v>
      </c>
      <c r="P784" s="12" t="s">
        <v>64</v>
      </c>
      <c r="Q784" s="12" t="s">
        <v>64</v>
      </c>
      <c r="R784" s="12" t="s">
        <v>64</v>
      </c>
      <c r="S784" s="17">
        <f t="shared" si="2978"/>
        <v>1828.923</v>
      </c>
      <c r="T784" s="12" t="s">
        <v>64</v>
      </c>
      <c r="U784" s="12" t="s">
        <v>64</v>
      </c>
      <c r="V784" s="12" t="s">
        <v>64</v>
      </c>
      <c r="W784" s="17">
        <f t="shared" si="2979"/>
        <v>0</v>
      </c>
      <c r="X784" s="12" t="s">
        <v>64</v>
      </c>
      <c r="Y784" s="12" t="s">
        <v>64</v>
      </c>
      <c r="Z784" s="12" t="s">
        <v>64</v>
      </c>
      <c r="AA784" s="17">
        <f t="shared" si="2980"/>
        <v>0</v>
      </c>
      <c r="AB784" s="12" t="s">
        <v>64</v>
      </c>
      <c r="AC784" s="12" t="s">
        <v>64</v>
      </c>
      <c r="AD784" s="12" t="s">
        <v>64</v>
      </c>
      <c r="AE784" s="17">
        <f t="shared" si="2981"/>
        <v>0</v>
      </c>
      <c r="AF784" s="12" t="s">
        <v>64</v>
      </c>
      <c r="AG784" s="12" t="s">
        <v>64</v>
      </c>
      <c r="AH784" s="12" t="s">
        <v>64</v>
      </c>
      <c r="AO784" s="11">
        <v>0</v>
      </c>
      <c r="AP784" s="11">
        <v>0</v>
      </c>
      <c r="AQ784" s="11">
        <v>0</v>
      </c>
      <c r="AR784" s="11">
        <v>897.02200000000005</v>
      </c>
      <c r="AS784" s="11">
        <v>1828.923</v>
      </c>
      <c r="AT784" s="11">
        <v>0</v>
      </c>
      <c r="AU784" s="11">
        <v>0</v>
      </c>
      <c r="AV784" s="12">
        <v>0</v>
      </c>
    </row>
    <row r="785" spans="2:53" x14ac:dyDescent="0.2">
      <c r="B785" t="s">
        <v>166</v>
      </c>
      <c r="H785" s="12" t="s">
        <v>64</v>
      </c>
      <c r="I785" s="12" t="s">
        <v>64</v>
      </c>
      <c r="J785" s="12" t="s">
        <v>64</v>
      </c>
      <c r="K785" s="17">
        <f t="shared" si="2976"/>
        <v>0</v>
      </c>
      <c r="L785" s="12" t="s">
        <v>64</v>
      </c>
      <c r="M785" s="12" t="s">
        <v>64</v>
      </c>
      <c r="N785" s="12" t="s">
        <v>64</v>
      </c>
      <c r="O785" s="17">
        <f t="shared" si="2977"/>
        <v>0</v>
      </c>
      <c r="P785" s="12" t="s">
        <v>64</v>
      </c>
      <c r="Q785" s="12" t="s">
        <v>64</v>
      </c>
      <c r="R785" s="12" t="s">
        <v>64</v>
      </c>
      <c r="S785" s="17">
        <f t="shared" si="2978"/>
        <v>-922.89700000000005</v>
      </c>
      <c r="T785" s="12" t="s">
        <v>64</v>
      </c>
      <c r="U785" s="12" t="s">
        <v>64</v>
      </c>
      <c r="V785" s="12" t="s">
        <v>64</v>
      </c>
      <c r="W785" s="17">
        <f t="shared" si="2979"/>
        <v>-1875.472</v>
      </c>
      <c r="X785" s="12" t="s">
        <v>64</v>
      </c>
      <c r="Y785" s="12" t="s">
        <v>64</v>
      </c>
      <c r="Z785" s="12" t="s">
        <v>64</v>
      </c>
      <c r="AA785" s="17">
        <f t="shared" si="2980"/>
        <v>0</v>
      </c>
      <c r="AB785" s="12" t="s">
        <v>64</v>
      </c>
      <c r="AC785" s="12" t="s">
        <v>64</v>
      </c>
      <c r="AD785" s="12" t="s">
        <v>64</v>
      </c>
      <c r="AE785" s="17">
        <f t="shared" si="2981"/>
        <v>0</v>
      </c>
      <c r="AF785" s="12" t="s">
        <v>64</v>
      </c>
      <c r="AG785" s="12" t="s">
        <v>64</v>
      </c>
      <c r="AH785" s="12" t="s">
        <v>64</v>
      </c>
      <c r="AO785" s="11">
        <v>0</v>
      </c>
      <c r="AP785" s="11">
        <v>0</v>
      </c>
      <c r="AQ785" s="11">
        <v>0</v>
      </c>
      <c r="AR785" s="11">
        <v>0</v>
      </c>
      <c r="AS785" s="11">
        <v>-922.89700000000005</v>
      </c>
      <c r="AT785" s="11">
        <v>-1875.472</v>
      </c>
      <c r="AU785" s="11">
        <v>0</v>
      </c>
      <c r="AV785" s="12">
        <v>0</v>
      </c>
    </row>
    <row r="786" spans="2:53" x14ac:dyDescent="0.2">
      <c r="B786" t="s">
        <v>167</v>
      </c>
      <c r="H786" s="12" t="s">
        <v>64</v>
      </c>
      <c r="I786" s="12" t="s">
        <v>64</v>
      </c>
      <c r="J786" s="12" t="s">
        <v>64</v>
      </c>
      <c r="K786" s="17">
        <f t="shared" si="2976"/>
        <v>0</v>
      </c>
      <c r="L786" s="12" t="s">
        <v>64</v>
      </c>
      <c r="M786" s="12" t="s">
        <v>64</v>
      </c>
      <c r="N786" s="12" t="s">
        <v>64</v>
      </c>
      <c r="O786" s="17">
        <f t="shared" si="2977"/>
        <v>0</v>
      </c>
      <c r="P786" s="12" t="s">
        <v>64</v>
      </c>
      <c r="Q786" s="12" t="s">
        <v>64</v>
      </c>
      <c r="R786" s="12" t="s">
        <v>64</v>
      </c>
      <c r="S786" s="17">
        <f t="shared" si="2978"/>
        <v>0</v>
      </c>
      <c r="T786" s="12" t="s">
        <v>64</v>
      </c>
      <c r="U786" s="12" t="s">
        <v>64</v>
      </c>
      <c r="V786" s="12" t="s">
        <v>64</v>
      </c>
      <c r="W786" s="17">
        <f t="shared" si="2979"/>
        <v>0</v>
      </c>
      <c r="X786" s="12" t="s">
        <v>64</v>
      </c>
      <c r="Y786" s="12" t="s">
        <v>64</v>
      </c>
      <c r="Z786" s="12" t="s">
        <v>64</v>
      </c>
      <c r="AA786" s="17">
        <f t="shared" si="2980"/>
        <v>0</v>
      </c>
      <c r="AB786" s="12" t="s">
        <v>64</v>
      </c>
      <c r="AC786" s="12" t="s">
        <v>64</v>
      </c>
      <c r="AD786" s="12" t="s">
        <v>64</v>
      </c>
      <c r="AE786" s="17">
        <f t="shared" si="2981"/>
        <v>0</v>
      </c>
      <c r="AF786" s="12" t="s">
        <v>64</v>
      </c>
      <c r="AG786" s="12" t="s">
        <v>64</v>
      </c>
      <c r="AH786" s="12" t="s">
        <v>64</v>
      </c>
      <c r="AO786" s="11">
        <v>0</v>
      </c>
      <c r="AP786" s="11">
        <v>-32.677</v>
      </c>
      <c r="AQ786" s="11">
        <v>0</v>
      </c>
      <c r="AR786" s="11">
        <v>0</v>
      </c>
      <c r="AS786" s="11">
        <v>0</v>
      </c>
      <c r="AT786" s="11">
        <v>0</v>
      </c>
      <c r="AU786" s="11">
        <v>0</v>
      </c>
      <c r="AV786" s="12">
        <v>0</v>
      </c>
    </row>
    <row r="787" spans="2:53" x14ac:dyDescent="0.2">
      <c r="B787" t="s">
        <v>168</v>
      </c>
      <c r="H787" s="12" t="s">
        <v>64</v>
      </c>
      <c r="I787" s="12" t="s">
        <v>64</v>
      </c>
      <c r="J787" s="12" t="s">
        <v>64</v>
      </c>
      <c r="K787" s="17">
        <f t="shared" si="2976"/>
        <v>0</v>
      </c>
      <c r="L787" s="12" t="s">
        <v>64</v>
      </c>
      <c r="M787" s="12" t="s">
        <v>64</v>
      </c>
      <c r="N787" s="12" t="s">
        <v>64</v>
      </c>
      <c r="O787" s="17">
        <f t="shared" si="2977"/>
        <v>0</v>
      </c>
      <c r="P787" s="12" t="s">
        <v>64</v>
      </c>
      <c r="Q787" s="12" t="s">
        <v>64</v>
      </c>
      <c r="R787" s="12" t="s">
        <v>64</v>
      </c>
      <c r="S787" s="17">
        <f t="shared" si="2978"/>
        <v>0</v>
      </c>
      <c r="T787" s="12" t="s">
        <v>64</v>
      </c>
      <c r="U787" s="12" t="s">
        <v>64</v>
      </c>
      <c r="V787" s="12" t="s">
        <v>64</v>
      </c>
      <c r="W787" s="17">
        <f t="shared" si="2979"/>
        <v>0</v>
      </c>
      <c r="X787" s="12" t="s">
        <v>64</v>
      </c>
      <c r="Y787" s="12" t="s">
        <v>64</v>
      </c>
      <c r="Z787" s="12" t="s">
        <v>64</v>
      </c>
      <c r="AA787" s="17">
        <f t="shared" si="2980"/>
        <v>0</v>
      </c>
      <c r="AB787" s="12" t="s">
        <v>64</v>
      </c>
      <c r="AC787" s="12" t="s">
        <v>64</v>
      </c>
      <c r="AD787" s="12" t="s">
        <v>64</v>
      </c>
      <c r="AE787" s="17">
        <f t="shared" si="2981"/>
        <v>0</v>
      </c>
      <c r="AF787" s="12" t="s">
        <v>64</v>
      </c>
      <c r="AG787" s="12" t="s">
        <v>64</v>
      </c>
      <c r="AH787" s="12" t="s">
        <v>64</v>
      </c>
      <c r="AO787" s="11">
        <v>0</v>
      </c>
      <c r="AP787" s="11">
        <v>0</v>
      </c>
      <c r="AQ787" s="11">
        <v>0</v>
      </c>
      <c r="AR787" s="11">
        <v>0</v>
      </c>
      <c r="AS787" s="11">
        <v>0</v>
      </c>
      <c r="AT787" s="11">
        <v>0</v>
      </c>
      <c r="AU787" s="11">
        <v>0</v>
      </c>
      <c r="AV787" s="12">
        <v>0</v>
      </c>
    </row>
    <row r="788" spans="2:53" x14ac:dyDescent="0.2">
      <c r="B788" t="s">
        <v>169</v>
      </c>
      <c r="H788" s="12" t="s">
        <v>64</v>
      </c>
      <c r="I788" s="12" t="s">
        <v>64</v>
      </c>
      <c r="J788" s="12" t="s">
        <v>64</v>
      </c>
      <c r="K788" s="17">
        <f t="shared" si="2976"/>
        <v>11879.944</v>
      </c>
      <c r="L788" s="12" t="s">
        <v>64</v>
      </c>
      <c r="M788" s="12" t="s">
        <v>64</v>
      </c>
      <c r="N788" s="12" t="s">
        <v>64</v>
      </c>
      <c r="O788" s="17">
        <f t="shared" si="2977"/>
        <v>0</v>
      </c>
      <c r="P788" s="12" t="s">
        <v>64</v>
      </c>
      <c r="Q788" s="12" t="s">
        <v>64</v>
      </c>
      <c r="R788" s="12" t="s">
        <v>64</v>
      </c>
      <c r="S788" s="17">
        <f t="shared" si="2978"/>
        <v>0</v>
      </c>
      <c r="T788" s="12" t="s">
        <v>64</v>
      </c>
      <c r="U788" s="12" t="s">
        <v>64</v>
      </c>
      <c r="V788" s="12" t="s">
        <v>64</v>
      </c>
      <c r="W788" s="17">
        <f t="shared" si="2979"/>
        <v>0</v>
      </c>
      <c r="X788" s="12" t="s">
        <v>64</v>
      </c>
      <c r="Y788" s="12" t="s">
        <v>64</v>
      </c>
      <c r="Z788" s="12" t="s">
        <v>64</v>
      </c>
      <c r="AA788" s="17">
        <f t="shared" si="2980"/>
        <v>0</v>
      </c>
      <c r="AB788" s="12" t="s">
        <v>64</v>
      </c>
      <c r="AC788" s="12" t="s">
        <v>64</v>
      </c>
      <c r="AD788" s="12" t="s">
        <v>64</v>
      </c>
      <c r="AE788" s="17">
        <f t="shared" si="2981"/>
        <v>0</v>
      </c>
      <c r="AF788" s="12" t="s">
        <v>64</v>
      </c>
      <c r="AG788" s="12" t="s">
        <v>64</v>
      </c>
      <c r="AH788" s="12" t="s">
        <v>64</v>
      </c>
      <c r="AO788" s="11">
        <v>0</v>
      </c>
      <c r="AP788" s="11">
        <v>0</v>
      </c>
      <c r="AQ788" s="11">
        <v>11879.944</v>
      </c>
      <c r="AR788" s="11">
        <v>0</v>
      </c>
      <c r="AS788" s="11">
        <v>0</v>
      </c>
      <c r="AT788" s="11">
        <v>0</v>
      </c>
      <c r="AU788" s="11">
        <v>0</v>
      </c>
      <c r="AV788" s="12">
        <v>0</v>
      </c>
    </row>
    <row r="789" spans="2:53" ht="13.5" x14ac:dyDescent="0.35">
      <c r="B789" t="s">
        <v>96</v>
      </c>
      <c r="H789" s="23" t="s">
        <v>64</v>
      </c>
      <c r="I789" s="23" t="s">
        <v>64</v>
      </c>
      <c r="J789" s="23" t="s">
        <v>64</v>
      </c>
      <c r="K789" s="36">
        <f t="shared" si="2976"/>
        <v>0</v>
      </c>
      <c r="L789" s="23" t="s">
        <v>64</v>
      </c>
      <c r="M789" s="23" t="s">
        <v>64</v>
      </c>
      <c r="N789" s="23" t="s">
        <v>64</v>
      </c>
      <c r="O789" s="36">
        <f t="shared" si="2977"/>
        <v>0</v>
      </c>
      <c r="P789" s="23" t="s">
        <v>64</v>
      </c>
      <c r="Q789" s="23" t="s">
        <v>64</v>
      </c>
      <c r="R789" s="23" t="s">
        <v>64</v>
      </c>
      <c r="S789" s="36">
        <f t="shared" si="2978"/>
        <v>-6.0000000000000001E-3</v>
      </c>
      <c r="T789" s="23" t="s">
        <v>64</v>
      </c>
      <c r="U789" s="23" t="s">
        <v>64</v>
      </c>
      <c r="V789" s="23" t="s">
        <v>64</v>
      </c>
      <c r="W789" s="36">
        <f t="shared" si="2979"/>
        <v>0.318</v>
      </c>
      <c r="X789" s="23" t="s">
        <v>64</v>
      </c>
      <c r="Y789" s="23" t="s">
        <v>64</v>
      </c>
      <c r="Z789" s="23" t="s">
        <v>64</v>
      </c>
      <c r="AA789" s="36">
        <f t="shared" si="2980"/>
        <v>10.079000000000001</v>
      </c>
      <c r="AB789" s="23" t="s">
        <v>64</v>
      </c>
      <c r="AC789" s="23" t="s">
        <v>64</v>
      </c>
      <c r="AD789" s="23" t="s">
        <v>64</v>
      </c>
      <c r="AE789" s="36">
        <f t="shared" si="2981"/>
        <v>8.1910000000000007</v>
      </c>
      <c r="AF789" s="23" t="s">
        <v>64</v>
      </c>
      <c r="AG789" s="23" t="s">
        <v>64</v>
      </c>
      <c r="AH789" s="23" t="s">
        <v>64</v>
      </c>
      <c r="AO789" s="13">
        <v>0</v>
      </c>
      <c r="AP789" s="13">
        <v>0</v>
      </c>
      <c r="AQ789" s="13">
        <v>0</v>
      </c>
      <c r="AR789" s="13">
        <v>0</v>
      </c>
      <c r="AS789" s="13">
        <v>-6.0000000000000001E-3</v>
      </c>
      <c r="AT789" s="13">
        <v>0.318</v>
      </c>
      <c r="AU789" s="13">
        <v>10.079000000000001</v>
      </c>
      <c r="AV789" s="23">
        <v>8.1910000000000007</v>
      </c>
    </row>
    <row r="790" spans="2:53" s="1" customFormat="1" x14ac:dyDescent="0.2">
      <c r="B790" s="38" t="s">
        <v>176</v>
      </c>
      <c r="H790" s="39">
        <v>5824.5680000000002</v>
      </c>
      <c r="I790" s="39">
        <v>5820.7790000000005</v>
      </c>
      <c r="J790" s="39">
        <v>17358.293000000001</v>
      </c>
      <c r="K790" s="49">
        <f t="shared" ref="K790" si="2987">+AQ790</f>
        <v>17344.357</v>
      </c>
      <c r="L790" s="39">
        <v>7993.8280000000004</v>
      </c>
      <c r="M790" s="39">
        <v>7993.8280000000004</v>
      </c>
      <c r="N790" s="39">
        <v>14960.832</v>
      </c>
      <c r="O790" s="49">
        <f t="shared" si="2977"/>
        <v>15854.731000000002</v>
      </c>
      <c r="P790" s="39">
        <v>1205.472</v>
      </c>
      <c r="Q790" s="39">
        <v>9624.2129999999997</v>
      </c>
      <c r="R790" s="39">
        <v>9624.2129999999997</v>
      </c>
      <c r="S790" s="49">
        <f t="shared" si="2978"/>
        <v>51798.996000000006</v>
      </c>
      <c r="T790" s="39">
        <v>-1238.874</v>
      </c>
      <c r="U790" s="39">
        <v>-1875.4929999999999</v>
      </c>
      <c r="V790" s="39">
        <v>-1875.347</v>
      </c>
      <c r="W790" s="49">
        <f t="shared" si="2979"/>
        <v>-1875.154</v>
      </c>
      <c r="X790" s="39">
        <v>4.2999999999999997E-2</v>
      </c>
      <c r="Y790" s="39">
        <v>0.311</v>
      </c>
      <c r="Z790" s="39">
        <v>0.56899999999999995</v>
      </c>
      <c r="AA790" s="49">
        <f t="shared" si="2980"/>
        <v>10.079000000000001</v>
      </c>
      <c r="AB790" s="39">
        <v>5.2999999999999999E-2</v>
      </c>
      <c r="AC790" s="39">
        <v>7.2859999999999996</v>
      </c>
      <c r="AD790" s="39">
        <v>7.6710000000000003</v>
      </c>
      <c r="AE790" s="49">
        <f t="shared" si="2981"/>
        <v>-8960.6259999999984</v>
      </c>
      <c r="AF790" s="39">
        <v>0.03</v>
      </c>
      <c r="AG790" s="39">
        <v>0.72799999999999998</v>
      </c>
      <c r="AH790" s="39">
        <v>0.89</v>
      </c>
      <c r="AO790" s="48">
        <f>SUM(AO774:AO789)</f>
        <v>486.53799999999995</v>
      </c>
      <c r="AP790" s="48">
        <f t="shared" ref="AP790:AV790" si="2988">SUM(AP774:AP789)</f>
        <v>1398.8600000000001</v>
      </c>
      <c r="AQ790" s="48">
        <f t="shared" si="2988"/>
        <v>17344.357</v>
      </c>
      <c r="AR790" s="48">
        <f t="shared" si="2988"/>
        <v>15854.731000000002</v>
      </c>
      <c r="AS790" s="48">
        <f t="shared" si="2988"/>
        <v>51798.996000000006</v>
      </c>
      <c r="AT790" s="48">
        <f t="shared" si="2988"/>
        <v>-1875.154</v>
      </c>
      <c r="AU790" s="48">
        <f t="shared" si="2988"/>
        <v>10.079000000000001</v>
      </c>
      <c r="AV790" s="48">
        <f t="shared" si="2988"/>
        <v>-8960.6259999999984</v>
      </c>
    </row>
    <row r="791" spans="2:53" x14ac:dyDescent="0.2">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O791" s="11"/>
      <c r="AP791" s="11"/>
      <c r="AQ791" s="11"/>
      <c r="AR791" s="11"/>
      <c r="AS791" s="11"/>
      <c r="AT791" s="11"/>
      <c r="AU791" s="11"/>
      <c r="AV791" s="11"/>
    </row>
    <row r="792" spans="2:53" ht="13.5" x14ac:dyDescent="0.35">
      <c r="B792" t="s">
        <v>178</v>
      </c>
      <c r="H792" s="13">
        <v>-75.799000000000007</v>
      </c>
      <c r="I792" s="13">
        <v>254.821</v>
      </c>
      <c r="J792" s="13">
        <v>613.87699999999995</v>
      </c>
      <c r="K792" s="36">
        <f t="shared" ref="K792:K793" si="2989">+AQ792</f>
        <v>546.91</v>
      </c>
      <c r="L792" s="13">
        <v>-228.49700000000001</v>
      </c>
      <c r="M792" s="13">
        <v>207.87100000000001</v>
      </c>
      <c r="N792" s="13">
        <v>500.40199999999999</v>
      </c>
      <c r="O792" s="36">
        <f>+AR792</f>
        <v>450.142</v>
      </c>
      <c r="P792" s="13">
        <v>99.058000000000007</v>
      </c>
      <c r="Q792" s="13">
        <v>59.564</v>
      </c>
      <c r="R792" s="13">
        <v>43.695999999999998</v>
      </c>
      <c r="S792" s="36">
        <f>+AS792</f>
        <v>-139.94300000000001</v>
      </c>
      <c r="T792" s="13">
        <v>51.55</v>
      </c>
      <c r="U792" s="13">
        <v>-140.863</v>
      </c>
      <c r="V792" s="13">
        <v>-118.703</v>
      </c>
      <c r="W792" s="36">
        <f>+AT792</f>
        <v>-145.15700000000001</v>
      </c>
      <c r="X792" s="13">
        <v>10.163</v>
      </c>
      <c r="Y792" s="13">
        <v>-40.676000000000002</v>
      </c>
      <c r="Z792" s="13">
        <v>209.55099999999999</v>
      </c>
      <c r="AA792" s="36">
        <f>+AU792</f>
        <v>100.17700000000001</v>
      </c>
      <c r="AB792" s="13">
        <v>-348.245</v>
      </c>
      <c r="AC792" s="13">
        <v>532.86</v>
      </c>
      <c r="AD792" s="13">
        <v>733.91800000000001</v>
      </c>
      <c r="AE792" s="36">
        <f>+AV792</f>
        <v>-291.13900000000001</v>
      </c>
      <c r="AF792" s="13">
        <v>147.92400000000001</v>
      </c>
      <c r="AG792" s="13">
        <v>240.744</v>
      </c>
      <c r="AH792" s="13">
        <v>-663.65300000000002</v>
      </c>
      <c r="AO792" s="13">
        <v>20.396999999999998</v>
      </c>
      <c r="AP792" s="13">
        <v>-47.680999999999997</v>
      </c>
      <c r="AQ792" s="13">
        <v>546.91</v>
      </c>
      <c r="AR792" s="13">
        <v>450.142</v>
      </c>
      <c r="AS792" s="13">
        <v>-139.94300000000001</v>
      </c>
      <c r="AT792" s="13">
        <v>-145.15700000000001</v>
      </c>
      <c r="AU792" s="13">
        <v>100.17700000000001</v>
      </c>
      <c r="AV792" s="13">
        <v>-291.13900000000001</v>
      </c>
    </row>
    <row r="793" spans="2:53" s="1" customFormat="1" x14ac:dyDescent="0.2">
      <c r="B793" s="38" t="s">
        <v>177</v>
      </c>
      <c r="H793" s="48">
        <f>+H754+H771+H790+H792</f>
        <v>5576.1369999999997</v>
      </c>
      <c r="I793" s="48">
        <f t="shared" ref="I793:AD793" si="2990">+I754+I771+I790+I792</f>
        <v>5972.7220000000007</v>
      </c>
      <c r="J793" s="48">
        <f t="shared" si="2990"/>
        <v>11901.866000000002</v>
      </c>
      <c r="K793" s="49">
        <f t="shared" si="2989"/>
        <v>18110.685000000001</v>
      </c>
      <c r="L793" s="48">
        <f t="shared" si="2990"/>
        <v>6679.5529999999999</v>
      </c>
      <c r="M793" s="48">
        <f t="shared" si="2990"/>
        <v>10124.48</v>
      </c>
      <c r="N793" s="48">
        <f t="shared" si="2990"/>
        <v>3826.3909999999996</v>
      </c>
      <c r="O793" s="49">
        <f>+AR793</f>
        <v>2806.1710000000003</v>
      </c>
      <c r="P793" s="48">
        <f t="shared" si="2990"/>
        <v>-846.7320000000002</v>
      </c>
      <c r="Q793" s="48">
        <f t="shared" si="2990"/>
        <v>3332.032999999999</v>
      </c>
      <c r="R793" s="48">
        <f t="shared" si="2990"/>
        <v>11182.903</v>
      </c>
      <c r="S793" s="49">
        <f>+AS793</f>
        <v>41497.779000000002</v>
      </c>
      <c r="T793" s="48">
        <f t="shared" si="2990"/>
        <v>-10532.918</v>
      </c>
      <c r="U793" s="48">
        <f t="shared" si="2990"/>
        <v>-7474.7910000000002</v>
      </c>
      <c r="V793" s="48">
        <f t="shared" si="2990"/>
        <v>-12480.673999999999</v>
      </c>
      <c r="W793" s="49">
        <f>+AT793</f>
        <v>-8799.6650000000063</v>
      </c>
      <c r="X793" s="48">
        <f t="shared" si="2990"/>
        <v>-13909.978999999999</v>
      </c>
      <c r="Y793" s="48">
        <f t="shared" si="2990"/>
        <v>-3179.9500000000007</v>
      </c>
      <c r="Z793" s="48">
        <f t="shared" si="2990"/>
        <v>8365.9640000000018</v>
      </c>
      <c r="AA793" s="49">
        <f>+AU793</f>
        <v>26256.445999999993</v>
      </c>
      <c r="AB793" s="48">
        <f t="shared" si="2990"/>
        <v>-21630.416999999998</v>
      </c>
      <c r="AC793" s="48">
        <f t="shared" si="2990"/>
        <v>-8865.9580000000024</v>
      </c>
      <c r="AD793" s="48">
        <f t="shared" si="2990"/>
        <v>19052.841999999997</v>
      </c>
      <c r="AE793" s="49">
        <f>+AV793</f>
        <v>29479.487999999994</v>
      </c>
      <c r="AF793" s="48">
        <f t="shared" ref="AF793:AG793" si="2991">+AF754+AF771+AF790+AF792</f>
        <v>-7074.9879999999994</v>
      </c>
      <c r="AG793" s="48">
        <f t="shared" si="2991"/>
        <v>1412.0120000000009</v>
      </c>
      <c r="AH793" s="48">
        <f t="shared" ref="AH793" si="2992">+AH754+AH771+AH790+AH792</f>
        <v>3908.5900000000029</v>
      </c>
      <c r="AO793" s="48">
        <f t="shared" ref="AO793:AV793" si="2993">+AO754+AO771+AO790+AO792</f>
        <v>1079.4110000000003</v>
      </c>
      <c r="AP793" s="48">
        <f t="shared" si="2993"/>
        <v>1738.309000000002</v>
      </c>
      <c r="AQ793" s="48">
        <f t="shared" si="2993"/>
        <v>18110.685000000001</v>
      </c>
      <c r="AR793" s="48">
        <f t="shared" si="2993"/>
        <v>2806.1710000000003</v>
      </c>
      <c r="AS793" s="48">
        <f t="shared" si="2993"/>
        <v>41497.779000000002</v>
      </c>
      <c r="AT793" s="48">
        <f t="shared" si="2993"/>
        <v>-8799.6650000000063</v>
      </c>
      <c r="AU793" s="48">
        <f t="shared" si="2993"/>
        <v>26256.445999999993</v>
      </c>
      <c r="AV793" s="48">
        <f t="shared" si="2993"/>
        <v>29479.487999999994</v>
      </c>
    </row>
    <row r="795" spans="2:53" x14ac:dyDescent="0.2">
      <c r="B795" s="6" t="s">
        <v>181</v>
      </c>
      <c r="C795" s="5"/>
    </row>
    <row r="797" spans="2:53" x14ac:dyDescent="0.2">
      <c r="B797" s="24" t="s">
        <v>207</v>
      </c>
    </row>
    <row r="798" spans="2:53" x14ac:dyDescent="0.2">
      <c r="B798" s="1" t="s">
        <v>182</v>
      </c>
    </row>
    <row r="799" spans="2:53" x14ac:dyDescent="0.2">
      <c r="B799" t="s">
        <v>183</v>
      </c>
      <c r="H799" s="11">
        <v>8634.2890000000007</v>
      </c>
      <c r="I799" s="11">
        <v>9030.8739999999998</v>
      </c>
      <c r="J799" s="11">
        <v>14960.018</v>
      </c>
      <c r="K799" s="11">
        <v>14160.322</v>
      </c>
      <c r="L799" s="11">
        <v>22501.690999999999</v>
      </c>
      <c r="M799" s="11">
        <v>23851.94</v>
      </c>
      <c r="N799" s="11">
        <v>15694.045</v>
      </c>
      <c r="O799" s="11">
        <v>5768.1859999999997</v>
      </c>
      <c r="P799" s="11">
        <v>5526.7359999999999</v>
      </c>
      <c r="Q799" s="11">
        <v>4209.6229999999996</v>
      </c>
      <c r="R799" s="11">
        <v>5715.6760000000004</v>
      </c>
      <c r="S799" s="11">
        <v>22421.188999999998</v>
      </c>
      <c r="T799" s="11">
        <v>17012.977999999999</v>
      </c>
      <c r="U799" s="11">
        <v>19154.776999999998</v>
      </c>
      <c r="V799" s="11">
        <v>11132.800999999999</v>
      </c>
      <c r="W799" s="11">
        <v>6426.7150000000001</v>
      </c>
      <c r="X799" s="11">
        <v>7404.9920000000002</v>
      </c>
      <c r="Y799" s="11">
        <v>13057.463</v>
      </c>
      <c r="Z799" s="11">
        <v>25601.546999999999</v>
      </c>
      <c r="AA799" s="11">
        <v>34326.192000000003</v>
      </c>
      <c r="AB799" s="11">
        <v>19771.264999999999</v>
      </c>
      <c r="AC799" s="11">
        <v>31379.326000000001</v>
      </c>
      <c r="AD799" s="11">
        <v>54939.760999999999</v>
      </c>
      <c r="AE799" s="11">
        <v>59794.468999999997</v>
      </c>
      <c r="AF799" s="11">
        <v>55591.887999999999</v>
      </c>
      <c r="AG799" s="11">
        <v>56756.328999999998</v>
      </c>
      <c r="AH799" s="11">
        <v>65295.430999999997</v>
      </c>
      <c r="AI799" s="11"/>
      <c r="AJ799" s="11"/>
      <c r="AK799" s="11"/>
      <c r="AL799" s="11"/>
      <c r="AM799" s="11"/>
      <c r="AN799" s="11"/>
      <c r="AO799" s="11">
        <v>1319.8430000000001</v>
      </c>
      <c r="AP799" s="11">
        <v>3058.152</v>
      </c>
      <c r="AQ799" s="11">
        <v>14160.322</v>
      </c>
      <c r="AR799" s="11">
        <v>5768.1859999999997</v>
      </c>
      <c r="AS799" s="11">
        <v>22421.188999999998</v>
      </c>
      <c r="AT799" s="11">
        <v>6426.7150000000001</v>
      </c>
      <c r="AU799" s="11">
        <v>34326.192000000003</v>
      </c>
      <c r="AV799" s="11">
        <v>59794.468999999997</v>
      </c>
      <c r="AZ799" s="11"/>
      <c r="BA799" s="11"/>
    </row>
    <row r="800" spans="2:53" x14ac:dyDescent="0.2">
      <c r="B800" t="s">
        <v>131</v>
      </c>
      <c r="H800" s="11">
        <v>8058.3980000000001</v>
      </c>
      <c r="I800" s="11">
        <v>8785.1380000000008</v>
      </c>
      <c r="J800" s="11">
        <v>10166.808999999999</v>
      </c>
      <c r="K800" s="11">
        <v>16379.364</v>
      </c>
      <c r="L800" s="11">
        <v>14717.548000000001</v>
      </c>
      <c r="M800" s="11">
        <v>16812.225999999999</v>
      </c>
      <c r="N800" s="11">
        <v>18672.031999999999</v>
      </c>
      <c r="O800" s="11">
        <v>27577.670999999998</v>
      </c>
      <c r="P800" s="11">
        <v>26972.388999999999</v>
      </c>
      <c r="Q800" s="11">
        <v>32468.267</v>
      </c>
      <c r="R800" s="11">
        <v>38813.084000000003</v>
      </c>
      <c r="S800" s="11">
        <v>52422.447</v>
      </c>
      <c r="T800" s="11">
        <v>47297.74</v>
      </c>
      <c r="U800" s="11">
        <v>48214.067999999999</v>
      </c>
      <c r="V800" s="11">
        <v>51230.161</v>
      </c>
      <c r="W800" s="11">
        <v>59617.256000000001</v>
      </c>
      <c r="X800" s="11">
        <v>44729</v>
      </c>
      <c r="Y800" s="11">
        <v>49806.557999999997</v>
      </c>
      <c r="Z800" s="11">
        <v>48808.387999999999</v>
      </c>
      <c r="AA800" s="11">
        <v>57974.224999999999</v>
      </c>
      <c r="AB800" s="11">
        <v>50898.735000000001</v>
      </c>
      <c r="AC800" s="11">
        <v>52055.133000000002</v>
      </c>
      <c r="AD800" s="11">
        <v>56413.498</v>
      </c>
      <c r="AE800" s="11">
        <v>61985.436000000002</v>
      </c>
      <c r="AF800" s="11">
        <v>59113.029000000002</v>
      </c>
      <c r="AG800" s="11">
        <v>59360.6</v>
      </c>
      <c r="AH800" s="11">
        <v>60393.063999999998</v>
      </c>
      <c r="AI800" s="11"/>
      <c r="AJ800" s="11"/>
      <c r="AK800" s="11"/>
      <c r="AL800" s="11"/>
      <c r="AM800" s="11"/>
      <c r="AN800" s="11"/>
      <c r="AO800" s="11">
        <v>0</v>
      </c>
      <c r="AP800" s="11">
        <v>9370.8490000000002</v>
      </c>
      <c r="AQ800" s="11">
        <v>16379.364</v>
      </c>
      <c r="AR800" s="11">
        <v>27577.670999999998</v>
      </c>
      <c r="AS800" s="11">
        <v>52422.447</v>
      </c>
      <c r="AT800" s="11">
        <v>59617.256000000001</v>
      </c>
      <c r="AU800" s="11">
        <v>57974.224999999999</v>
      </c>
      <c r="AV800" s="11">
        <v>61985.436000000002</v>
      </c>
      <c r="AZ800" s="11"/>
      <c r="BA800" s="11"/>
    </row>
    <row r="801" spans="2:54" x14ac:dyDescent="0.2">
      <c r="B801" t="s">
        <v>132</v>
      </c>
      <c r="H801" s="11">
        <v>113.52500000000001</v>
      </c>
      <c r="I801" s="11">
        <v>94.442999999999998</v>
      </c>
      <c r="J801" s="11">
        <v>126.456</v>
      </c>
      <c r="K801" s="11">
        <v>247.58600000000001</v>
      </c>
      <c r="L801" s="11">
        <v>317.209</v>
      </c>
      <c r="M801" s="11">
        <v>452.26600000000002</v>
      </c>
      <c r="N801" s="11">
        <v>524.43600000000004</v>
      </c>
      <c r="O801" s="11">
        <v>1050.9739999999999</v>
      </c>
      <c r="P801" s="11">
        <v>679.52200000000005</v>
      </c>
      <c r="Q801" s="11">
        <v>429.375</v>
      </c>
      <c r="R801" s="11">
        <v>531.00900000000001</v>
      </c>
      <c r="S801" s="11">
        <v>729.548</v>
      </c>
      <c r="T801" s="11">
        <v>699.20299999999997</v>
      </c>
      <c r="U801" s="11">
        <v>686.32600000000002</v>
      </c>
      <c r="V801" s="11">
        <v>667.62300000000005</v>
      </c>
      <c r="W801" s="11">
        <v>673.73699999999997</v>
      </c>
      <c r="X801" s="11">
        <v>600.52700000000004</v>
      </c>
      <c r="Y801" s="11">
        <v>617.72400000000005</v>
      </c>
      <c r="Z801" s="11">
        <v>476.32900000000001</v>
      </c>
      <c r="AA801" s="11">
        <v>587.69600000000003</v>
      </c>
      <c r="AB801" s="11">
        <v>693.11099999999999</v>
      </c>
      <c r="AC801" s="11">
        <v>1559.7650000000001</v>
      </c>
      <c r="AD801" s="11">
        <v>2547.134</v>
      </c>
      <c r="AE801" s="11">
        <v>3914.1170000000002</v>
      </c>
      <c r="AF801" s="11">
        <v>4769.0479999999998</v>
      </c>
      <c r="AG801" s="11">
        <v>5491.1310000000003</v>
      </c>
      <c r="AH801" s="11">
        <v>4633.683</v>
      </c>
      <c r="AI801" s="11"/>
      <c r="AJ801" s="11"/>
      <c r="AK801" s="11"/>
      <c r="AL801" s="11"/>
      <c r="AM801" s="11"/>
      <c r="AN801" s="11"/>
      <c r="AO801" s="11">
        <v>10.282</v>
      </c>
      <c r="AP801" s="11">
        <v>88.173000000000002</v>
      </c>
      <c r="AQ801" s="11">
        <v>247.58600000000001</v>
      </c>
      <c r="AR801" s="11">
        <v>1050.9739999999999</v>
      </c>
      <c r="AS801" s="11">
        <v>729.548</v>
      </c>
      <c r="AT801" s="11">
        <v>673.73699999999997</v>
      </c>
      <c r="AU801" s="11">
        <v>587.69600000000003</v>
      </c>
      <c r="AV801" s="11">
        <v>3914.1170000000002</v>
      </c>
      <c r="AZ801" s="11"/>
      <c r="BA801" s="11"/>
    </row>
    <row r="802" spans="2:54" x14ac:dyDescent="0.2">
      <c r="B802" t="s">
        <v>133</v>
      </c>
      <c r="H802" s="11">
        <v>515.49699999999996</v>
      </c>
      <c r="I802" s="11">
        <v>588.07799999999997</v>
      </c>
      <c r="J802" s="11">
        <v>693.91899999999998</v>
      </c>
      <c r="K802" s="11">
        <v>1019.033</v>
      </c>
      <c r="L802" s="11">
        <v>1081.9359999999999</v>
      </c>
      <c r="M802" s="11">
        <v>1043.258</v>
      </c>
      <c r="N802" s="11">
        <v>1253.49</v>
      </c>
      <c r="O802" s="11">
        <v>2365.5279999999998</v>
      </c>
      <c r="P802" s="11">
        <v>1948.3920000000001</v>
      </c>
      <c r="Q802" s="11">
        <v>2428.172</v>
      </c>
      <c r="R802" s="11">
        <v>3449.1260000000002</v>
      </c>
      <c r="S802" s="11">
        <v>4240.0690000000004</v>
      </c>
      <c r="T802" s="11">
        <v>4131.1790000000001</v>
      </c>
      <c r="U802" s="11">
        <v>3644.8679999999999</v>
      </c>
      <c r="V802" s="11">
        <v>3896.7530000000002</v>
      </c>
      <c r="W802" s="11">
        <v>4250.1549999999997</v>
      </c>
      <c r="X802" s="11">
        <v>3587.3490000000002</v>
      </c>
      <c r="Y802" s="11">
        <v>4110.1620000000003</v>
      </c>
      <c r="Z802" s="11">
        <v>4680.2809999999999</v>
      </c>
      <c r="AA802" s="11">
        <v>6318.83</v>
      </c>
      <c r="AB802" s="11">
        <v>4896.5169999999998</v>
      </c>
      <c r="AC802" s="11">
        <v>5097.4260000000004</v>
      </c>
      <c r="AD802" s="11">
        <v>6138.625</v>
      </c>
      <c r="AE802" s="11">
        <v>7428.07</v>
      </c>
      <c r="AF802" s="11">
        <v>6973.8339999999998</v>
      </c>
      <c r="AG802" s="11">
        <v>5989.4110000000001</v>
      </c>
      <c r="AH802" s="11">
        <v>9288.9809999999998</v>
      </c>
      <c r="AI802" s="11"/>
      <c r="AJ802" s="11"/>
      <c r="AK802" s="11"/>
      <c r="AL802" s="11"/>
      <c r="AM802" s="11"/>
      <c r="AN802" s="11"/>
      <c r="AO802" s="11">
        <v>92.647000000000006</v>
      </c>
      <c r="AP802" s="11">
        <v>442.91199999999998</v>
      </c>
      <c r="AQ802" s="11">
        <v>1019.033</v>
      </c>
      <c r="AR802" s="11">
        <v>2365.5279999999998</v>
      </c>
      <c r="AS802" s="11">
        <v>4240.0690000000004</v>
      </c>
      <c r="AT802" s="11">
        <v>4250.1549999999997</v>
      </c>
      <c r="AU802" s="11">
        <v>6318.83</v>
      </c>
      <c r="AV802" s="11">
        <v>7428.07</v>
      </c>
      <c r="AZ802" s="10"/>
      <c r="BA802" s="10"/>
      <c r="BB802" s="33"/>
    </row>
    <row r="803" spans="2:54" x14ac:dyDescent="0.2">
      <c r="B803" t="s">
        <v>184</v>
      </c>
      <c r="H803" s="11">
        <v>850</v>
      </c>
      <c r="I803" s="11">
        <v>1300</v>
      </c>
      <c r="J803" s="11">
        <v>7511.28</v>
      </c>
      <c r="K803" s="11">
        <v>7630.6890000000003</v>
      </c>
      <c r="L803" s="11">
        <v>6919.5479999999998</v>
      </c>
      <c r="M803" s="11">
        <v>7935.4210000000003</v>
      </c>
      <c r="N803" s="11">
        <v>24560.778999999999</v>
      </c>
      <c r="O803" s="11">
        <v>35288.826999999997</v>
      </c>
      <c r="P803" s="11">
        <v>37048.472000000002</v>
      </c>
      <c r="Q803" s="11">
        <v>44801.078000000001</v>
      </c>
      <c r="R803" s="11">
        <v>39859.089</v>
      </c>
      <c r="S803" s="11">
        <v>64551.093999999997</v>
      </c>
      <c r="T803" s="11">
        <v>66342.812999999995</v>
      </c>
      <c r="U803" s="11">
        <v>73026.501999999993</v>
      </c>
      <c r="V803" s="11">
        <v>86785.027000000002</v>
      </c>
      <c r="W803" s="11">
        <v>86516.618000000002</v>
      </c>
      <c r="X803" s="11">
        <v>87815.868000000002</v>
      </c>
      <c r="Y803" s="11">
        <v>106322.57799999999</v>
      </c>
      <c r="Z803" s="11">
        <v>112207.94899999999</v>
      </c>
      <c r="AA803" s="11">
        <v>115112.554</v>
      </c>
      <c r="AB803" s="11">
        <v>137263.55300000001</v>
      </c>
      <c r="AC803" s="11">
        <v>148129.26</v>
      </c>
      <c r="AD803" s="11">
        <v>147906.90400000001</v>
      </c>
      <c r="AE803" s="11">
        <v>157415.36499999999</v>
      </c>
      <c r="AF803" s="11">
        <v>186539.73199999999</v>
      </c>
      <c r="AG803" s="11">
        <v>228170.85</v>
      </c>
      <c r="AH803" s="11">
        <v>243166.321</v>
      </c>
      <c r="AI803" s="11"/>
      <c r="AJ803" s="11"/>
      <c r="AK803" s="11"/>
      <c r="AL803" s="11"/>
      <c r="AM803" s="11"/>
      <c r="AN803" s="11"/>
      <c r="AO803" s="11">
        <v>290</v>
      </c>
      <c r="AP803" s="11">
        <v>50</v>
      </c>
      <c r="AQ803" s="11">
        <v>7630.6890000000003</v>
      </c>
      <c r="AR803" s="11">
        <v>35288.826999999997</v>
      </c>
      <c r="AS803" s="11">
        <v>64551.093999999997</v>
      </c>
      <c r="AT803" s="11">
        <v>86516.618000000002</v>
      </c>
      <c r="AU803" s="11">
        <v>115112.554</v>
      </c>
      <c r="AV803" s="11">
        <v>157415.36499999999</v>
      </c>
      <c r="BA803" s="10"/>
    </row>
    <row r="804" spans="2:54" ht="13.5" x14ac:dyDescent="0.35">
      <c r="B804" t="s">
        <v>134</v>
      </c>
      <c r="H804" s="13">
        <v>210.85</v>
      </c>
      <c r="I804" s="13">
        <v>673.40499999999997</v>
      </c>
      <c r="J804" s="13">
        <v>784.94500000000005</v>
      </c>
      <c r="K804" s="13">
        <v>953.98900000000003</v>
      </c>
      <c r="L804" s="13">
        <v>1268.8420000000001</v>
      </c>
      <c r="M804" s="13">
        <v>1210.6479999999999</v>
      </c>
      <c r="N804" s="13">
        <v>884.60199999999998</v>
      </c>
      <c r="O804" s="13">
        <v>950.27700000000004</v>
      </c>
      <c r="P804" s="13">
        <v>914.60299999999995</v>
      </c>
      <c r="Q804" s="13">
        <v>1245.451</v>
      </c>
      <c r="R804" s="13">
        <v>1802.585</v>
      </c>
      <c r="S804" s="13">
        <v>5159.5309999999999</v>
      </c>
      <c r="T804" s="13">
        <v>4152.8230000000003</v>
      </c>
      <c r="U804" s="13">
        <v>2847.3980000000001</v>
      </c>
      <c r="V804" s="13">
        <v>3380.9209999999998</v>
      </c>
      <c r="W804" s="13">
        <v>3424.6869999999999</v>
      </c>
      <c r="X804" s="13">
        <v>2027.2249999999999</v>
      </c>
      <c r="Y804" s="13">
        <v>1531.816</v>
      </c>
      <c r="Z804" s="13">
        <v>1795.8019999999999</v>
      </c>
      <c r="AA804" s="13">
        <v>2298.3789999999999</v>
      </c>
      <c r="AB804" s="13">
        <v>2287.7420000000002</v>
      </c>
      <c r="AC804" s="13">
        <v>2985.2629999999999</v>
      </c>
      <c r="AD804" s="13">
        <v>3629.8939999999998</v>
      </c>
      <c r="AE804" s="13">
        <v>4213.0150000000003</v>
      </c>
      <c r="AF804" s="13">
        <v>3482.4319999999998</v>
      </c>
      <c r="AG804" s="13">
        <v>3957.931</v>
      </c>
      <c r="AH804" s="13">
        <v>4053.8069999999998</v>
      </c>
      <c r="AI804" s="13"/>
      <c r="AJ804" s="13"/>
      <c r="AK804" s="13"/>
      <c r="AL804" s="13"/>
      <c r="AM804" s="13"/>
      <c r="AN804" s="13"/>
      <c r="AO804" s="13">
        <v>40.731000000000002</v>
      </c>
      <c r="AP804" s="13">
        <v>127.742</v>
      </c>
      <c r="AQ804" s="13">
        <v>953.98900000000003</v>
      </c>
      <c r="AR804" s="13">
        <v>950.27700000000004</v>
      </c>
      <c r="AS804" s="13">
        <v>5159.5309999999999</v>
      </c>
      <c r="AT804" s="13">
        <v>3424.6869999999999</v>
      </c>
      <c r="AU804" s="13">
        <v>2298.3789999999999</v>
      </c>
      <c r="AV804" s="13">
        <v>4213.0150000000003</v>
      </c>
    </row>
    <row r="805" spans="2:54" s="1" customFormat="1" x14ac:dyDescent="0.2">
      <c r="B805" s="38" t="s">
        <v>204</v>
      </c>
      <c r="H805" s="42">
        <f>SUM(H799:H804)</f>
        <v>18382.559000000001</v>
      </c>
      <c r="I805" s="42">
        <f t="shared" ref="I805:AE805" si="2994">SUM(I799:I804)</f>
        <v>20471.938000000002</v>
      </c>
      <c r="J805" s="42">
        <f t="shared" si="2994"/>
        <v>34243.426999999996</v>
      </c>
      <c r="K805" s="42">
        <f t="shared" si="2994"/>
        <v>40390.983</v>
      </c>
      <c r="L805" s="42">
        <f t="shared" si="2994"/>
        <v>46806.774000000005</v>
      </c>
      <c r="M805" s="42">
        <f t="shared" si="2994"/>
        <v>51305.759000000005</v>
      </c>
      <c r="N805" s="42">
        <f t="shared" si="2994"/>
        <v>61589.383999999991</v>
      </c>
      <c r="O805" s="42">
        <f t="shared" si="2994"/>
        <v>73001.462999999989</v>
      </c>
      <c r="P805" s="42">
        <f t="shared" si="2994"/>
        <v>73090.114000000001</v>
      </c>
      <c r="Q805" s="42">
        <f t="shared" si="2994"/>
        <v>85581.966</v>
      </c>
      <c r="R805" s="42">
        <f t="shared" si="2994"/>
        <v>90170.569000000003</v>
      </c>
      <c r="S805" s="42">
        <f t="shared" si="2994"/>
        <v>149523.878</v>
      </c>
      <c r="T805" s="42">
        <f t="shared" si="2994"/>
        <v>139636.736</v>
      </c>
      <c r="U805" s="42">
        <f t="shared" si="2994"/>
        <v>147573.93899999998</v>
      </c>
      <c r="V805" s="42">
        <f t="shared" si="2994"/>
        <v>157093.28599999999</v>
      </c>
      <c r="W805" s="42">
        <f t="shared" si="2994"/>
        <v>160909.16800000001</v>
      </c>
      <c r="X805" s="42">
        <f t="shared" si="2994"/>
        <v>146164.96100000001</v>
      </c>
      <c r="Y805" s="42">
        <f t="shared" si="2994"/>
        <v>175446.30099999998</v>
      </c>
      <c r="Z805" s="42">
        <f t="shared" si="2994"/>
        <v>193570.296</v>
      </c>
      <c r="AA805" s="42">
        <f t="shared" si="2994"/>
        <v>216617.87599999999</v>
      </c>
      <c r="AB805" s="42">
        <f t="shared" si="2994"/>
        <v>215810.92300000001</v>
      </c>
      <c r="AC805" s="42">
        <f t="shared" si="2994"/>
        <v>241206.17300000004</v>
      </c>
      <c r="AD805" s="42">
        <f t="shared" si="2994"/>
        <v>271575.81599999999</v>
      </c>
      <c r="AE805" s="42">
        <f t="shared" si="2994"/>
        <v>294750.47200000001</v>
      </c>
      <c r="AF805" s="42">
        <f t="shared" ref="AF805:AG805" si="2995">SUM(AF799:AF804)</f>
        <v>316469.96299999993</v>
      </c>
      <c r="AG805" s="42">
        <f t="shared" si="2995"/>
        <v>359726.25199999998</v>
      </c>
      <c r="AH805" s="42">
        <f t="shared" ref="AH805" si="2996">SUM(AH799:AH804)</f>
        <v>386831.28699999995</v>
      </c>
      <c r="AO805" s="42">
        <f t="shared" ref="AO805" si="2997">SUM(AO799:AO804)</f>
        <v>1753.5029999999999</v>
      </c>
      <c r="AP805" s="42">
        <f t="shared" ref="AP805" si="2998">SUM(AP799:AP804)</f>
        <v>13137.828000000001</v>
      </c>
      <c r="AQ805" s="42">
        <f t="shared" ref="AQ805" si="2999">SUM(AQ799:AQ804)</f>
        <v>40390.983</v>
      </c>
      <c r="AR805" s="42">
        <f t="shared" ref="AR805" si="3000">SUM(AR799:AR804)</f>
        <v>73001.462999999989</v>
      </c>
      <c r="AS805" s="42">
        <f t="shared" ref="AS805" si="3001">SUM(AS799:AS804)</f>
        <v>149523.878</v>
      </c>
      <c r="AT805" s="42">
        <f t="shared" ref="AT805" si="3002">SUM(AT799:AT804)</f>
        <v>160909.16800000001</v>
      </c>
      <c r="AU805" s="42">
        <f t="shared" ref="AU805:AV805" si="3003">SUM(AU799:AU804)</f>
        <v>216617.87599999999</v>
      </c>
      <c r="AV805" s="42">
        <f t="shared" si="3003"/>
        <v>294750.47200000001</v>
      </c>
    </row>
    <row r="807" spans="2:54" x14ac:dyDescent="0.2">
      <c r="B807" s="1" t="s">
        <v>185</v>
      </c>
    </row>
    <row r="808" spans="2:54" x14ac:dyDescent="0.2">
      <c r="B808" t="s">
        <v>186</v>
      </c>
      <c r="H808" s="11">
        <v>0</v>
      </c>
      <c r="I808" s="11">
        <v>0</v>
      </c>
      <c r="J808" s="11">
        <v>0</v>
      </c>
      <c r="K808" s="11">
        <v>0</v>
      </c>
      <c r="L808" s="11">
        <v>0</v>
      </c>
      <c r="M808" s="11">
        <v>0</v>
      </c>
      <c r="N808" s="11">
        <v>0</v>
      </c>
      <c r="O808" s="11">
        <v>0</v>
      </c>
      <c r="P808" s="11">
        <v>0</v>
      </c>
      <c r="Q808" s="11">
        <v>0</v>
      </c>
      <c r="R808" s="11">
        <v>0</v>
      </c>
      <c r="S808" s="11">
        <v>0</v>
      </c>
      <c r="T808" s="11">
        <v>0</v>
      </c>
      <c r="U808" s="11">
        <v>0</v>
      </c>
      <c r="V808" s="11">
        <v>0</v>
      </c>
      <c r="W808" s="11">
        <v>0</v>
      </c>
      <c r="X808" s="11">
        <v>0</v>
      </c>
      <c r="Y808" s="11">
        <v>0</v>
      </c>
      <c r="Z808" s="11">
        <v>0</v>
      </c>
      <c r="AA808" s="11">
        <v>0</v>
      </c>
      <c r="AB808" s="11">
        <v>0</v>
      </c>
      <c r="AC808" s="11">
        <v>0</v>
      </c>
      <c r="AD808" s="11">
        <v>0</v>
      </c>
      <c r="AE808" s="11">
        <v>0</v>
      </c>
      <c r="AF808" s="11">
        <v>0</v>
      </c>
      <c r="AG808" s="11">
        <v>0</v>
      </c>
      <c r="AH808" s="11">
        <v>0</v>
      </c>
      <c r="AI808" s="11"/>
      <c r="AJ808" s="11"/>
      <c r="AK808" s="11"/>
      <c r="AL808" s="11"/>
      <c r="AM808" s="11"/>
      <c r="AN808" s="11"/>
      <c r="AO808" s="11">
        <v>15</v>
      </c>
      <c r="AP808" s="11">
        <v>5</v>
      </c>
      <c r="AQ808" s="11">
        <v>0</v>
      </c>
      <c r="AR808" s="11">
        <v>0</v>
      </c>
      <c r="AS808" s="11">
        <v>0</v>
      </c>
      <c r="AT808" s="11">
        <v>0</v>
      </c>
      <c r="AU808" s="11">
        <v>0</v>
      </c>
      <c r="AV808" s="11">
        <v>0</v>
      </c>
    </row>
    <row r="809" spans="2:54" x14ac:dyDescent="0.2">
      <c r="B809" t="s">
        <v>187</v>
      </c>
      <c r="H809" s="11">
        <v>9.8970000000000002</v>
      </c>
      <c r="I809" s="11">
        <v>14.875999999999999</v>
      </c>
      <c r="J809" s="11">
        <v>19.11</v>
      </c>
      <c r="K809" s="11">
        <v>29.074999999999999</v>
      </c>
      <c r="L809" s="11">
        <v>36.088999999999999</v>
      </c>
      <c r="M809" s="11">
        <v>33.408999999999999</v>
      </c>
      <c r="N809" s="11">
        <v>38.152999999999999</v>
      </c>
      <c r="O809" s="11">
        <v>41.273000000000003</v>
      </c>
      <c r="P809" s="11">
        <v>41.353000000000002</v>
      </c>
      <c r="Q809" s="11">
        <v>47.524999999999999</v>
      </c>
      <c r="R809" s="11">
        <v>46.509</v>
      </c>
      <c r="S809" s="11">
        <v>202.85300000000001</v>
      </c>
      <c r="T809" s="11">
        <v>227.917</v>
      </c>
      <c r="U809" s="11">
        <v>247.114</v>
      </c>
      <c r="V809" s="11">
        <v>2219.9969999999998</v>
      </c>
      <c r="W809" s="11">
        <v>2203.3229999999999</v>
      </c>
      <c r="X809" s="11">
        <v>1746.7460000000001</v>
      </c>
      <c r="Y809" s="11">
        <v>1450.866</v>
      </c>
      <c r="Z809" s="11">
        <v>1148.01</v>
      </c>
      <c r="AA809" s="11">
        <v>1044.847</v>
      </c>
      <c r="AB809" s="11">
        <v>948.09500000000003</v>
      </c>
      <c r="AC809" s="11">
        <v>1064.374</v>
      </c>
      <c r="AD809" s="11">
        <v>1065.18</v>
      </c>
      <c r="AE809" s="11">
        <v>979.59699999999998</v>
      </c>
      <c r="AF809" s="11">
        <v>881.00800000000004</v>
      </c>
      <c r="AG809" s="11">
        <v>863.49400000000003</v>
      </c>
      <c r="AH809" s="11">
        <v>875.51300000000003</v>
      </c>
      <c r="AI809" s="11"/>
      <c r="AJ809" s="11"/>
      <c r="AK809" s="11"/>
      <c r="AL809" s="11"/>
      <c r="AM809" s="11"/>
      <c r="AN809" s="11"/>
      <c r="AO809" s="11">
        <v>2.2480000000000002</v>
      </c>
      <c r="AP809" s="11">
        <v>9.2789999999999999</v>
      </c>
      <c r="AQ809" s="11">
        <v>29.074999999999999</v>
      </c>
      <c r="AR809" s="11">
        <v>41.273000000000003</v>
      </c>
      <c r="AS809" s="11">
        <v>202.85300000000001</v>
      </c>
      <c r="AT809" s="11">
        <v>2203.3229999999999</v>
      </c>
      <c r="AU809" s="11">
        <v>1044.847</v>
      </c>
      <c r="AV809" s="11">
        <v>979.59699999999998</v>
      </c>
    </row>
    <row r="810" spans="2:54" x14ac:dyDescent="0.2">
      <c r="B810" t="s">
        <v>188</v>
      </c>
      <c r="H810" s="11">
        <v>2789.3539999999998</v>
      </c>
      <c r="I810" s="11">
        <v>2786.69</v>
      </c>
      <c r="J810" s="11">
        <v>2741.32</v>
      </c>
      <c r="K810" s="11">
        <v>2579.3380000000002</v>
      </c>
      <c r="L810" s="11">
        <v>2381.2469999999998</v>
      </c>
      <c r="M810" s="11">
        <v>2277.009</v>
      </c>
      <c r="N810" s="11">
        <v>2182.2959999999998</v>
      </c>
      <c r="O810" s="11">
        <v>1994.2919999999999</v>
      </c>
      <c r="P810" s="11">
        <v>1866.5319999999999</v>
      </c>
      <c r="Q810" s="11">
        <v>1706.2909999999999</v>
      </c>
      <c r="R810" s="11">
        <v>1486.9590000000001</v>
      </c>
      <c r="S810" s="11">
        <v>1276.751</v>
      </c>
      <c r="T810" s="11">
        <v>1169.499</v>
      </c>
      <c r="U810" s="11">
        <v>1004.58</v>
      </c>
      <c r="V810" s="11">
        <v>860.61</v>
      </c>
      <c r="W810" s="11">
        <v>701.22</v>
      </c>
      <c r="X810" s="11">
        <v>556.76</v>
      </c>
      <c r="Y810" s="11">
        <v>435.84100000000001</v>
      </c>
      <c r="Z810" s="11">
        <v>297.85599999999999</v>
      </c>
      <c r="AA810" s="11">
        <v>134.00200000000001</v>
      </c>
      <c r="AB810" s="11">
        <v>23.402999999999999</v>
      </c>
      <c r="AC810" s="11">
        <v>22.651</v>
      </c>
      <c r="AD810" s="11">
        <v>21.9</v>
      </c>
      <c r="AE810" s="11">
        <v>21.148</v>
      </c>
      <c r="AF810" s="11">
        <v>21.994</v>
      </c>
      <c r="AG810" s="11">
        <v>21.056000000000001</v>
      </c>
      <c r="AH810" s="11">
        <v>20.088000000000001</v>
      </c>
      <c r="AI810" s="11"/>
      <c r="AJ810" s="11"/>
      <c r="AK810" s="11"/>
      <c r="AL810" s="11"/>
      <c r="AM810" s="11"/>
      <c r="AN810" s="11"/>
      <c r="AO810" s="11">
        <v>0</v>
      </c>
      <c r="AP810" s="11">
        <v>0</v>
      </c>
      <c r="AQ810" s="11">
        <v>2579.3380000000002</v>
      </c>
      <c r="AR810" s="11">
        <v>1994.2919999999999</v>
      </c>
      <c r="AS810" s="11">
        <v>1276.751</v>
      </c>
      <c r="AT810" s="11">
        <v>701.22</v>
      </c>
      <c r="AU810" s="11">
        <v>134.00200000000001</v>
      </c>
      <c r="AV810" s="11">
        <v>21.148</v>
      </c>
    </row>
    <row r="811" spans="2:54" x14ac:dyDescent="0.2">
      <c r="B811" t="s">
        <v>140</v>
      </c>
      <c r="H811" s="11">
        <v>0</v>
      </c>
      <c r="I811" s="11">
        <v>0</v>
      </c>
      <c r="J811" s="11">
        <v>0</v>
      </c>
      <c r="K811" s="11">
        <v>0</v>
      </c>
      <c r="L811" s="11">
        <v>218.83600000000001</v>
      </c>
      <c r="M811" s="11">
        <v>307.73500000000001</v>
      </c>
      <c r="N811" s="11">
        <v>316.23899999999998</v>
      </c>
      <c r="O811" s="11">
        <v>517.18799999999999</v>
      </c>
      <c r="P811" s="11">
        <v>486.89400000000001</v>
      </c>
      <c r="Q811" s="11">
        <v>514.92600000000004</v>
      </c>
      <c r="R811" s="11">
        <v>534.07600000000002</v>
      </c>
      <c r="S811" s="11">
        <v>629.827</v>
      </c>
      <c r="T811" s="11">
        <v>651.70100000000002</v>
      </c>
      <c r="U811" s="11">
        <v>689.97</v>
      </c>
      <c r="V811" s="11">
        <v>747.17100000000005</v>
      </c>
      <c r="W811" s="11">
        <v>938.53700000000003</v>
      </c>
      <c r="X811" s="11">
        <v>831.82600000000002</v>
      </c>
      <c r="Y811" s="11">
        <v>882.3</v>
      </c>
      <c r="Z811" s="11">
        <v>1235.4349999999999</v>
      </c>
      <c r="AA811" s="11">
        <v>1416.0809999999999</v>
      </c>
      <c r="AB811" s="11">
        <v>1640.3610000000001</v>
      </c>
      <c r="AC811" s="11">
        <v>2121.9639999999999</v>
      </c>
      <c r="AD811" s="11">
        <v>3662.7559999999999</v>
      </c>
      <c r="AE811" s="11">
        <v>4104.8890000000001</v>
      </c>
      <c r="AF811" s="11">
        <v>3953.9360000000001</v>
      </c>
      <c r="AG811" s="11">
        <v>4237.67</v>
      </c>
      <c r="AH811" s="11">
        <v>4820.1809999999996</v>
      </c>
      <c r="AI811" s="11"/>
      <c r="AJ811" s="11"/>
      <c r="AK811" s="11"/>
      <c r="AL811" s="11"/>
      <c r="AM811" s="11"/>
      <c r="AN811" s="11"/>
      <c r="AO811" s="11">
        <v>0</v>
      </c>
      <c r="AP811" s="11">
        <v>0</v>
      </c>
      <c r="AQ811" s="11">
        <v>0</v>
      </c>
      <c r="AR811" s="11">
        <v>517.18799999999999</v>
      </c>
      <c r="AS811" s="11">
        <v>629.827</v>
      </c>
      <c r="AT811" s="11">
        <v>938.53700000000003</v>
      </c>
      <c r="AU811" s="11">
        <v>1416.0809999999999</v>
      </c>
      <c r="AV811" s="11">
        <v>4104.8890000000001</v>
      </c>
    </row>
    <row r="812" spans="2:54" x14ac:dyDescent="0.2">
      <c r="B812" t="s">
        <v>155</v>
      </c>
      <c r="H812" s="11">
        <v>164.19900000000001</v>
      </c>
      <c r="I812" s="11">
        <v>0</v>
      </c>
      <c r="J812" s="11">
        <v>0</v>
      </c>
      <c r="K812" s="11">
        <v>0</v>
      </c>
      <c r="L812" s="11">
        <v>0</v>
      </c>
      <c r="M812" s="11">
        <v>0</v>
      </c>
      <c r="N812" s="11">
        <v>0</v>
      </c>
      <c r="O812" s="11">
        <v>0</v>
      </c>
      <c r="P812" s="11">
        <v>0</v>
      </c>
      <c r="Q812" s="11">
        <v>0</v>
      </c>
      <c r="R812" s="11">
        <v>0</v>
      </c>
      <c r="S812" s="11">
        <v>0</v>
      </c>
      <c r="T812" s="11">
        <v>0</v>
      </c>
      <c r="U812" s="11">
        <v>0</v>
      </c>
      <c r="V812" s="11">
        <v>0</v>
      </c>
      <c r="W812" s="11">
        <v>0</v>
      </c>
      <c r="X812" s="11">
        <v>0</v>
      </c>
      <c r="Y812" s="11">
        <v>0</v>
      </c>
      <c r="Z812" s="11">
        <v>0</v>
      </c>
      <c r="AA812" s="11">
        <v>0</v>
      </c>
      <c r="AB812" s="11">
        <v>0</v>
      </c>
      <c r="AC812" s="11">
        <v>0</v>
      </c>
      <c r="AD812" s="11">
        <v>0</v>
      </c>
      <c r="AE812" s="11">
        <v>0</v>
      </c>
      <c r="AF812" s="11">
        <v>0</v>
      </c>
      <c r="AG812" s="11">
        <v>0</v>
      </c>
      <c r="AH812" s="11">
        <v>0</v>
      </c>
      <c r="AI812" s="11"/>
      <c r="AJ812" s="11"/>
      <c r="AK812" s="11"/>
      <c r="AL812" s="11"/>
      <c r="AM812" s="11"/>
      <c r="AN812" s="11"/>
      <c r="AO812" s="11">
        <v>0</v>
      </c>
      <c r="AP812" s="11">
        <v>162.363</v>
      </c>
      <c r="AQ812" s="11">
        <v>0</v>
      </c>
      <c r="AR812" s="11">
        <v>0</v>
      </c>
      <c r="AS812" s="11">
        <v>0</v>
      </c>
      <c r="AT812" s="11">
        <v>0</v>
      </c>
      <c r="AU812" s="11">
        <v>0</v>
      </c>
      <c r="AV812" s="11">
        <v>0</v>
      </c>
    </row>
    <row r="813" spans="2:54" x14ac:dyDescent="0.2">
      <c r="B813" t="s">
        <v>189</v>
      </c>
      <c r="H813" s="11">
        <v>0</v>
      </c>
      <c r="I813" s="11">
        <v>0</v>
      </c>
      <c r="J813" s="11">
        <v>0</v>
      </c>
      <c r="K813" s="11">
        <v>0</v>
      </c>
      <c r="L813" s="11">
        <v>0</v>
      </c>
      <c r="M813" s="11">
        <v>0</v>
      </c>
      <c r="N813" s="11">
        <v>0</v>
      </c>
      <c r="O813" s="11">
        <v>0</v>
      </c>
      <c r="P813" s="11">
        <v>0</v>
      </c>
      <c r="Q813" s="11">
        <v>0</v>
      </c>
      <c r="R813" s="11">
        <v>0</v>
      </c>
      <c r="S813" s="11">
        <v>0</v>
      </c>
      <c r="T813" s="11">
        <v>0</v>
      </c>
      <c r="U813" s="11">
        <v>0</v>
      </c>
      <c r="V813" s="11">
        <v>14.224</v>
      </c>
      <c r="W813" s="11">
        <v>31.504000000000001</v>
      </c>
      <c r="X813" s="11">
        <v>23.143000000000001</v>
      </c>
      <c r="Y813" s="11">
        <v>24.148</v>
      </c>
      <c r="Z813" s="11">
        <v>27.707000000000001</v>
      </c>
      <c r="AA813" s="11">
        <v>1045.03</v>
      </c>
      <c r="AB813" s="11">
        <v>1298.6020000000001</v>
      </c>
      <c r="AC813" s="11">
        <v>1544.634</v>
      </c>
      <c r="AD813" s="11">
        <v>1631.825</v>
      </c>
      <c r="AE813" s="11">
        <v>270.738</v>
      </c>
      <c r="AF813" s="11">
        <v>44.116</v>
      </c>
      <c r="AG813" s="11">
        <v>76.625</v>
      </c>
      <c r="AH813" s="11">
        <v>272.69900000000001</v>
      </c>
      <c r="AI813" s="11"/>
      <c r="AJ813" s="11"/>
      <c r="AK813" s="11"/>
      <c r="AL813" s="11"/>
      <c r="AM813" s="11"/>
      <c r="AN813" s="11"/>
      <c r="AO813" s="11">
        <v>0</v>
      </c>
      <c r="AP813" s="11">
        <v>0</v>
      </c>
      <c r="AQ813" s="11">
        <v>0</v>
      </c>
      <c r="AR813" s="11">
        <v>0</v>
      </c>
      <c r="AS813" s="11">
        <v>0</v>
      </c>
      <c r="AT813" s="11">
        <v>31.504000000000001</v>
      </c>
      <c r="AU813" s="11">
        <v>1045.03</v>
      </c>
      <c r="AV813" s="11">
        <v>270.738</v>
      </c>
    </row>
    <row r="814" spans="2:54" ht="13.5" x14ac:dyDescent="0.35">
      <c r="B814" t="s">
        <v>142</v>
      </c>
      <c r="H814" s="13">
        <v>0</v>
      </c>
      <c r="I814" s="13">
        <v>0</v>
      </c>
      <c r="J814" s="13">
        <v>0</v>
      </c>
      <c r="K814" s="13">
        <v>182.667</v>
      </c>
      <c r="L814" s="13">
        <v>340.81900000000002</v>
      </c>
      <c r="M814" s="13">
        <v>436.93799999999999</v>
      </c>
      <c r="N814" s="13">
        <v>449.99</v>
      </c>
      <c r="O814" s="13">
        <v>503.12</v>
      </c>
      <c r="P814" s="13">
        <v>691.99400000000003</v>
      </c>
      <c r="Q814" s="13">
        <v>3049.9580000000001</v>
      </c>
      <c r="R814" s="13">
        <v>7172.8130000000001</v>
      </c>
      <c r="S814" s="13">
        <v>7275.3050000000003</v>
      </c>
      <c r="T814" s="13">
        <v>11733.999</v>
      </c>
      <c r="U814" s="13">
        <v>7224.1530000000002</v>
      </c>
      <c r="V814" s="13">
        <v>5593.4709999999995</v>
      </c>
      <c r="W814" s="13">
        <v>16425.966</v>
      </c>
      <c r="X814" s="13">
        <v>19395.185000000001</v>
      </c>
      <c r="Y814" s="13">
        <v>13759.949000000001</v>
      </c>
      <c r="Z814" s="13">
        <v>12828.68</v>
      </c>
      <c r="AA814" s="13">
        <v>16862.116999999998</v>
      </c>
      <c r="AB814" s="13">
        <v>20344.866000000002</v>
      </c>
      <c r="AC814" s="13">
        <v>28325.561000000002</v>
      </c>
      <c r="AD814" s="13">
        <v>36293.654999999999</v>
      </c>
      <c r="AE814" s="13">
        <v>47951.275999999998</v>
      </c>
      <c r="AF814" s="13">
        <v>56455.11</v>
      </c>
      <c r="AG814" s="13">
        <v>67819.244999999995</v>
      </c>
      <c r="AH814" s="13">
        <v>73974.100999999995</v>
      </c>
      <c r="AI814" s="11"/>
      <c r="AJ814" s="11"/>
      <c r="AK814" s="11"/>
      <c r="AL814" s="11"/>
      <c r="AM814" s="11"/>
      <c r="AN814" s="11"/>
      <c r="AO814" s="13">
        <v>0</v>
      </c>
      <c r="AP814" s="13">
        <v>0</v>
      </c>
      <c r="AQ814" s="13">
        <v>182.667</v>
      </c>
      <c r="AR814" s="13">
        <v>503.12</v>
      </c>
      <c r="AS814" s="13">
        <v>7275.3050000000003</v>
      </c>
      <c r="AT814" s="13">
        <v>16425.966</v>
      </c>
      <c r="AU814" s="13">
        <v>16862.116999999998</v>
      </c>
      <c r="AV814" s="13">
        <v>47951.275999999998</v>
      </c>
    </row>
    <row r="815" spans="2:54" s="1" customFormat="1" x14ac:dyDescent="0.2">
      <c r="B815" s="38" t="s">
        <v>205</v>
      </c>
      <c r="H815" s="42">
        <f>SUM(H808:H814)</f>
        <v>2963.45</v>
      </c>
      <c r="I815" s="42">
        <f t="shared" ref="I815:AE815" si="3004">SUM(I808:I814)</f>
        <v>2801.5660000000003</v>
      </c>
      <c r="J815" s="42">
        <f t="shared" si="3004"/>
        <v>2760.4300000000003</v>
      </c>
      <c r="K815" s="42">
        <f t="shared" si="3004"/>
        <v>2791.08</v>
      </c>
      <c r="L815" s="42">
        <f t="shared" si="3004"/>
        <v>2976.9909999999995</v>
      </c>
      <c r="M815" s="42">
        <f t="shared" si="3004"/>
        <v>3055.0910000000003</v>
      </c>
      <c r="N815" s="42">
        <f t="shared" si="3004"/>
        <v>2986.6779999999999</v>
      </c>
      <c r="O815" s="42">
        <f t="shared" si="3004"/>
        <v>3055.8729999999996</v>
      </c>
      <c r="P815" s="42">
        <f t="shared" si="3004"/>
        <v>3086.7730000000001</v>
      </c>
      <c r="Q815" s="42">
        <f t="shared" si="3004"/>
        <v>5318.7000000000007</v>
      </c>
      <c r="R815" s="42">
        <f t="shared" si="3004"/>
        <v>9240.357</v>
      </c>
      <c r="S815" s="42">
        <f t="shared" si="3004"/>
        <v>9384.7360000000008</v>
      </c>
      <c r="T815" s="42">
        <f t="shared" si="3004"/>
        <v>13783.116</v>
      </c>
      <c r="U815" s="42">
        <f t="shared" si="3004"/>
        <v>9165.8170000000009</v>
      </c>
      <c r="V815" s="42">
        <f t="shared" si="3004"/>
        <v>9435.473</v>
      </c>
      <c r="W815" s="42">
        <f t="shared" si="3004"/>
        <v>20300.55</v>
      </c>
      <c r="X815" s="42">
        <f t="shared" si="3004"/>
        <v>22553.660000000003</v>
      </c>
      <c r="Y815" s="42">
        <f t="shared" si="3004"/>
        <v>16553.103999999999</v>
      </c>
      <c r="Z815" s="42">
        <f t="shared" si="3004"/>
        <v>15537.688</v>
      </c>
      <c r="AA815" s="42">
        <f t="shared" si="3004"/>
        <v>20502.076999999997</v>
      </c>
      <c r="AB815" s="42">
        <f t="shared" si="3004"/>
        <v>24255.327000000001</v>
      </c>
      <c r="AC815" s="42">
        <f t="shared" si="3004"/>
        <v>33079.184000000001</v>
      </c>
      <c r="AD815" s="42">
        <f t="shared" si="3004"/>
        <v>42675.315999999999</v>
      </c>
      <c r="AE815" s="42">
        <f t="shared" si="3004"/>
        <v>53327.648000000001</v>
      </c>
      <c r="AF815" s="42">
        <f t="shared" ref="AF815:AG815" si="3005">SUM(AF808:AF814)</f>
        <v>61356.164000000004</v>
      </c>
      <c r="AG815" s="42">
        <f t="shared" si="3005"/>
        <v>73018.09</v>
      </c>
      <c r="AH815" s="42">
        <f t="shared" ref="AH815" si="3006">SUM(AH808:AH814)</f>
        <v>79962.581999999995</v>
      </c>
      <c r="AO815" s="42">
        <f t="shared" ref="AO815" si="3007">SUM(AO808:AO814)</f>
        <v>17.248000000000001</v>
      </c>
      <c r="AP815" s="42">
        <f t="shared" ref="AP815" si="3008">SUM(AP808:AP814)</f>
        <v>176.642</v>
      </c>
      <c r="AQ815" s="42">
        <f t="shared" ref="AQ815" si="3009">SUM(AQ808:AQ814)</f>
        <v>2791.08</v>
      </c>
      <c r="AR815" s="42">
        <f t="shared" ref="AR815" si="3010">SUM(AR808:AR814)</f>
        <v>3055.8729999999996</v>
      </c>
      <c r="AS815" s="42">
        <f t="shared" ref="AS815" si="3011">SUM(AS808:AS814)</f>
        <v>9384.7360000000008</v>
      </c>
      <c r="AT815" s="42">
        <f t="shared" ref="AT815" si="3012">SUM(AT808:AT814)</f>
        <v>20300.55</v>
      </c>
      <c r="AU815" s="42">
        <f t="shared" ref="AU815:AV815" si="3013">SUM(AU808:AU814)</f>
        <v>20502.076999999997</v>
      </c>
      <c r="AV815" s="42">
        <f t="shared" si="3013"/>
        <v>53327.648000000001</v>
      </c>
    </row>
    <row r="816" spans="2:54" x14ac:dyDescent="0.2">
      <c r="B816" s="4"/>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O816" s="10"/>
      <c r="AP816" s="10"/>
      <c r="AQ816" s="10"/>
      <c r="AR816" s="10"/>
      <c r="AS816" s="10"/>
      <c r="AT816" s="10"/>
      <c r="AU816" s="10"/>
      <c r="AV816" s="10"/>
    </row>
    <row r="817" spans="2:48" s="1" customFormat="1" x14ac:dyDescent="0.2">
      <c r="B817" s="1" t="s">
        <v>206</v>
      </c>
      <c r="H817" s="42">
        <f>+H805+H815</f>
        <v>21346.009000000002</v>
      </c>
      <c r="I817" s="42">
        <f t="shared" ref="I817:AE817" si="3014">+I805+I815</f>
        <v>23273.504000000001</v>
      </c>
      <c r="J817" s="42">
        <f t="shared" si="3014"/>
        <v>37003.856999999996</v>
      </c>
      <c r="K817" s="42">
        <f t="shared" si="3014"/>
        <v>43182.063000000002</v>
      </c>
      <c r="L817" s="42">
        <f t="shared" si="3014"/>
        <v>49783.765000000007</v>
      </c>
      <c r="M817" s="42">
        <f t="shared" si="3014"/>
        <v>54360.850000000006</v>
      </c>
      <c r="N817" s="42">
        <f t="shared" si="3014"/>
        <v>64576.061999999991</v>
      </c>
      <c r="O817" s="42">
        <f t="shared" si="3014"/>
        <v>76057.335999999981</v>
      </c>
      <c r="P817" s="42">
        <f t="shared" si="3014"/>
        <v>76176.887000000002</v>
      </c>
      <c r="Q817" s="42">
        <f t="shared" si="3014"/>
        <v>90900.665999999997</v>
      </c>
      <c r="R817" s="42">
        <f t="shared" si="3014"/>
        <v>99410.926000000007</v>
      </c>
      <c r="S817" s="42">
        <f t="shared" si="3014"/>
        <v>158908.614</v>
      </c>
      <c r="T817" s="42">
        <f t="shared" si="3014"/>
        <v>153419.85200000001</v>
      </c>
      <c r="U817" s="42">
        <f t="shared" si="3014"/>
        <v>156739.75599999999</v>
      </c>
      <c r="V817" s="42">
        <f t="shared" si="3014"/>
        <v>166528.75899999999</v>
      </c>
      <c r="W817" s="42">
        <f t="shared" si="3014"/>
        <v>181209.71799999999</v>
      </c>
      <c r="X817" s="42">
        <f t="shared" si="3014"/>
        <v>168718.62100000001</v>
      </c>
      <c r="Y817" s="42">
        <f t="shared" si="3014"/>
        <v>191999.40499999997</v>
      </c>
      <c r="Z817" s="42">
        <f t="shared" si="3014"/>
        <v>209107.984</v>
      </c>
      <c r="AA817" s="42">
        <f t="shared" si="3014"/>
        <v>237119.95299999998</v>
      </c>
      <c r="AB817" s="42">
        <f t="shared" si="3014"/>
        <v>240066.25</v>
      </c>
      <c r="AC817" s="42">
        <f t="shared" si="3014"/>
        <v>274285.35700000002</v>
      </c>
      <c r="AD817" s="42">
        <f t="shared" si="3014"/>
        <v>314251.13199999998</v>
      </c>
      <c r="AE817" s="42">
        <f t="shared" si="3014"/>
        <v>348078.12</v>
      </c>
      <c r="AF817" s="42">
        <f t="shared" ref="AF817:AH817" si="3015">+AF805+AF815</f>
        <v>377826.12699999992</v>
      </c>
      <c r="AG817" s="42">
        <f t="shared" si="3015"/>
        <v>432744.34199999995</v>
      </c>
      <c r="AH817" s="42">
        <f t="shared" si="3015"/>
        <v>466793.86899999995</v>
      </c>
      <c r="AO817" s="42">
        <f t="shared" ref="AO817:AU817" si="3016">+AO805+AO815</f>
        <v>1770.751</v>
      </c>
      <c r="AP817" s="42">
        <f t="shared" si="3016"/>
        <v>13314.470000000001</v>
      </c>
      <c r="AQ817" s="42">
        <f t="shared" si="3016"/>
        <v>43182.063000000002</v>
      </c>
      <c r="AR817" s="42">
        <f t="shared" si="3016"/>
        <v>76057.335999999981</v>
      </c>
      <c r="AS817" s="42">
        <f t="shared" si="3016"/>
        <v>158908.614</v>
      </c>
      <c r="AT817" s="42">
        <f t="shared" si="3016"/>
        <v>181209.71799999999</v>
      </c>
      <c r="AU817" s="42">
        <f t="shared" si="3016"/>
        <v>237119.95299999998</v>
      </c>
      <c r="AV817" s="42">
        <f t="shared" ref="AV817" si="3017">+AV805+AV815</f>
        <v>348078.12</v>
      </c>
    </row>
    <row r="818" spans="2:48" s="1" customFormat="1" x14ac:dyDescent="0.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F818" s="42"/>
      <c r="AG818" s="42"/>
      <c r="AO818" s="42"/>
      <c r="AP818" s="42"/>
      <c r="AQ818" s="42"/>
      <c r="AR818" s="42"/>
      <c r="AS818" s="42"/>
      <c r="AT818" s="42"/>
      <c r="AU818" s="42"/>
    </row>
    <row r="819" spans="2:48" x14ac:dyDescent="0.2">
      <c r="B819" s="24" t="s">
        <v>208</v>
      </c>
    </row>
    <row r="820" spans="2:48" x14ac:dyDescent="0.2">
      <c r="B820" s="1" t="s">
        <v>190</v>
      </c>
    </row>
    <row r="821" spans="2:48" x14ac:dyDescent="0.2">
      <c r="B821" t="s">
        <v>136</v>
      </c>
      <c r="H821" s="11">
        <v>85.656999999999996</v>
      </c>
      <c r="I821" s="11">
        <v>105.01300000000001</v>
      </c>
      <c r="J821" s="11">
        <v>165.04400000000001</v>
      </c>
      <c r="K821" s="11">
        <v>191.482</v>
      </c>
      <c r="L821" s="11">
        <v>243.048</v>
      </c>
      <c r="M821" s="11">
        <v>267.322</v>
      </c>
      <c r="N821" s="11">
        <v>379.00099999999998</v>
      </c>
      <c r="O821" s="11">
        <v>605.97</v>
      </c>
      <c r="P821" s="11">
        <v>619.76900000000001</v>
      </c>
      <c r="Q821" s="11">
        <v>750.548</v>
      </c>
      <c r="R821" s="11">
        <v>1042.0930000000001</v>
      </c>
      <c r="S821" s="11">
        <v>2423.19</v>
      </c>
      <c r="T821" s="11">
        <v>1786.2460000000001</v>
      </c>
      <c r="U821" s="11">
        <v>973.98900000000003</v>
      </c>
      <c r="V821" s="11">
        <v>1144.0730000000001</v>
      </c>
      <c r="W821" s="11">
        <v>1166.7639999999999</v>
      </c>
      <c r="X821" s="11">
        <v>1060.6559999999999</v>
      </c>
      <c r="Y821" s="11">
        <v>1242.7159999999999</v>
      </c>
      <c r="Z821" s="11">
        <v>1391.56</v>
      </c>
      <c r="AA821" s="11">
        <v>1389.655</v>
      </c>
      <c r="AB821" s="11">
        <v>1543.135</v>
      </c>
      <c r="AC821" s="11">
        <v>1639.29</v>
      </c>
      <c r="AD821" s="11">
        <v>2043.857</v>
      </c>
      <c r="AE821" s="11">
        <v>2144.61</v>
      </c>
      <c r="AF821" s="11">
        <v>1369.8910000000001</v>
      </c>
      <c r="AG821" s="11">
        <v>2413.5770000000002</v>
      </c>
      <c r="AH821" s="11">
        <v>2951.5909999999999</v>
      </c>
      <c r="AO821" s="11">
        <v>2.1539999999999999</v>
      </c>
      <c r="AP821" s="11">
        <v>56.453000000000003</v>
      </c>
      <c r="AQ821" s="11">
        <v>191.482</v>
      </c>
      <c r="AR821" s="11">
        <v>605.97</v>
      </c>
      <c r="AS821" s="11">
        <v>2423.19</v>
      </c>
      <c r="AT821" s="11">
        <v>1166.7639999999999</v>
      </c>
      <c r="AU821" s="11">
        <v>1389.655</v>
      </c>
      <c r="AV821" s="11">
        <v>2144.61</v>
      </c>
    </row>
    <row r="822" spans="2:48" x14ac:dyDescent="0.2">
      <c r="B822" t="s">
        <v>135</v>
      </c>
      <c r="H822" s="11">
        <v>142.00299999999999</v>
      </c>
      <c r="I822" s="11">
        <v>294.20100000000002</v>
      </c>
      <c r="J822" s="11">
        <v>571.81600000000003</v>
      </c>
      <c r="K822" s="11">
        <v>478.113</v>
      </c>
      <c r="L822" s="11">
        <v>921.41800000000001</v>
      </c>
      <c r="M822" s="11">
        <v>1412.5170000000001</v>
      </c>
      <c r="N822" s="11">
        <v>2085.6039999999998</v>
      </c>
      <c r="O822" s="11">
        <v>1502.8920000000001</v>
      </c>
      <c r="P822" s="11">
        <v>2635.8490000000002</v>
      </c>
      <c r="Q822" s="11">
        <v>1928.3530000000001</v>
      </c>
      <c r="R822" s="11">
        <v>3298.7669999999998</v>
      </c>
      <c r="S822" s="11">
        <v>3385.8629999999998</v>
      </c>
      <c r="T822" s="11">
        <v>4885.2669999999998</v>
      </c>
      <c r="U822" s="11">
        <v>6355.9250000000002</v>
      </c>
      <c r="V822" s="11">
        <v>7240.4279999999999</v>
      </c>
      <c r="W822" s="11">
        <v>1963.0070000000001</v>
      </c>
      <c r="X822" s="11">
        <v>2039.7270000000001</v>
      </c>
      <c r="Y822" s="11">
        <v>2494.855</v>
      </c>
      <c r="Z822" s="11">
        <v>2600.5630000000001</v>
      </c>
      <c r="AA822" s="11">
        <v>1676.3910000000001</v>
      </c>
      <c r="AB822" s="11">
        <v>1960.0129999999999</v>
      </c>
      <c r="AC822" s="11">
        <v>1832.0250000000001</v>
      </c>
      <c r="AD822" s="11">
        <v>2028.787</v>
      </c>
      <c r="AE822" s="11">
        <v>1238.7760000000001</v>
      </c>
      <c r="AF822" s="11">
        <v>2281.087</v>
      </c>
      <c r="AG822" s="11">
        <v>1152.0070000000001</v>
      </c>
      <c r="AH822" s="11">
        <v>1075.8579999999999</v>
      </c>
      <c r="AO822" s="11">
        <v>24.975999999999999</v>
      </c>
      <c r="AP822" s="11">
        <v>76.057000000000002</v>
      </c>
      <c r="AQ822" s="11">
        <v>478.113</v>
      </c>
      <c r="AR822" s="11">
        <v>1502.8920000000001</v>
      </c>
      <c r="AS822" s="11">
        <v>3385.8629999999998</v>
      </c>
      <c r="AT822" s="11">
        <v>1963.0070000000001</v>
      </c>
      <c r="AU822" s="11">
        <v>1676.3910000000001</v>
      </c>
      <c r="AV822" s="11">
        <v>1238.7760000000001</v>
      </c>
    </row>
    <row r="823" spans="2:48" x14ac:dyDescent="0.2">
      <c r="B823" t="s">
        <v>191</v>
      </c>
      <c r="H823" s="11">
        <v>8594.24</v>
      </c>
      <c r="I823" s="11">
        <v>9318.2199999999993</v>
      </c>
      <c r="J823" s="11">
        <v>10793.733</v>
      </c>
      <c r="K823" s="11">
        <v>17275.934000000001</v>
      </c>
      <c r="L823" s="11">
        <v>15657.163</v>
      </c>
      <c r="M823" s="11">
        <v>17830.719000000001</v>
      </c>
      <c r="N823" s="11">
        <v>19819.655999999999</v>
      </c>
      <c r="O823" s="11">
        <v>29926.488000000001</v>
      </c>
      <c r="P823" s="11">
        <v>28713.942999999999</v>
      </c>
      <c r="Q823" s="11">
        <v>33978.502999999997</v>
      </c>
      <c r="R823" s="11">
        <v>40299.834999999999</v>
      </c>
      <c r="S823" s="11">
        <v>53833.981</v>
      </c>
      <c r="T823" s="11">
        <v>49360.985999999997</v>
      </c>
      <c r="U823" s="11">
        <v>50754.254000000001</v>
      </c>
      <c r="V823" s="11">
        <v>53201.245999999999</v>
      </c>
      <c r="W823" s="11">
        <v>62509.714</v>
      </c>
      <c r="X823" s="11">
        <v>47166.442999999999</v>
      </c>
      <c r="Y823" s="11">
        <v>52897.387000000002</v>
      </c>
      <c r="Z823" s="11">
        <v>51562.514000000003</v>
      </c>
      <c r="AA823" s="11">
        <v>63316.695</v>
      </c>
      <c r="AB823" s="11">
        <v>55878.527000000002</v>
      </c>
      <c r="AC823" s="11">
        <v>60115.463000000003</v>
      </c>
      <c r="AD823" s="11">
        <v>68099.716</v>
      </c>
      <c r="AE823" s="11">
        <v>74997.251999999993</v>
      </c>
      <c r="AF823" s="11">
        <v>74493.745999999999</v>
      </c>
      <c r="AG823" s="11">
        <v>78707.763999999996</v>
      </c>
      <c r="AH823" s="11">
        <v>82780.214999999997</v>
      </c>
      <c r="AO823" s="11">
        <v>1116.798</v>
      </c>
      <c r="AP823" s="11">
        <v>9838.5190000000002</v>
      </c>
      <c r="AQ823" s="11">
        <v>17275.934000000001</v>
      </c>
      <c r="AR823" s="11">
        <v>29926.488000000001</v>
      </c>
      <c r="AS823" s="11">
        <v>53833.981</v>
      </c>
      <c r="AT823" s="11">
        <v>62509.714</v>
      </c>
      <c r="AU823" s="11">
        <v>63316.695</v>
      </c>
      <c r="AV823" s="11">
        <v>74997.251999999993</v>
      </c>
    </row>
    <row r="824" spans="2:48" x14ac:dyDescent="0.2">
      <c r="B824" t="s">
        <v>138</v>
      </c>
      <c r="H824" s="11">
        <v>516.89599999999996</v>
      </c>
      <c r="I824" s="11">
        <v>971.10299999999995</v>
      </c>
      <c r="J824" s="11">
        <v>1082.7739999999999</v>
      </c>
      <c r="K824" s="11">
        <v>2225.6669999999999</v>
      </c>
      <c r="L824" s="11">
        <v>2779.172</v>
      </c>
      <c r="M824" s="11">
        <v>3573.9059999999999</v>
      </c>
      <c r="N824" s="11">
        <v>4197.7510000000002</v>
      </c>
      <c r="O824" s="11">
        <v>4877.0619999999999</v>
      </c>
      <c r="P824" s="11">
        <v>5791.2269999999999</v>
      </c>
      <c r="Q824" s="11">
        <v>5906.4120000000003</v>
      </c>
      <c r="R824" s="11">
        <v>6904.9530000000004</v>
      </c>
      <c r="S824" s="11">
        <v>11193.371999999999</v>
      </c>
      <c r="T824" s="11">
        <v>10609.374</v>
      </c>
      <c r="U824" s="11">
        <v>9050.4930000000004</v>
      </c>
      <c r="V824" s="11">
        <v>11406.089</v>
      </c>
      <c r="W824" s="11">
        <v>14085.513000000001</v>
      </c>
      <c r="X824" s="11">
        <v>12882.178</v>
      </c>
      <c r="Y824" s="11">
        <v>13828.902</v>
      </c>
      <c r="Z824" s="11">
        <v>14242.036</v>
      </c>
      <c r="AA824" s="11">
        <v>20960.723000000002</v>
      </c>
      <c r="AB824" s="11">
        <v>21515.815999999999</v>
      </c>
      <c r="AC824" s="11">
        <v>30889.82</v>
      </c>
      <c r="AD824" s="11">
        <v>43936.446000000004</v>
      </c>
      <c r="AE824" s="11">
        <v>55351.398999999998</v>
      </c>
      <c r="AF824" s="11">
        <v>54203.750999999997</v>
      </c>
      <c r="AG824" s="11">
        <v>68735.001000000004</v>
      </c>
      <c r="AH824" s="11">
        <v>74404.296000000002</v>
      </c>
      <c r="AO824" s="11">
        <v>41.832000000000001</v>
      </c>
      <c r="AP824" s="11">
        <v>360.39299999999997</v>
      </c>
      <c r="AQ824" s="11">
        <v>2225.6669999999999</v>
      </c>
      <c r="AR824" s="11">
        <v>4877.0619999999999</v>
      </c>
      <c r="AS824" s="11">
        <v>11193.371999999999</v>
      </c>
      <c r="AT824" s="11">
        <v>14085.513000000001</v>
      </c>
      <c r="AU824" s="11">
        <v>20960.723000000002</v>
      </c>
      <c r="AV824" s="11">
        <v>55351.398999999998</v>
      </c>
    </row>
    <row r="825" spans="2:48" x14ac:dyDescent="0.2">
      <c r="B825" t="s">
        <v>139</v>
      </c>
      <c r="H825" s="11">
        <v>2414.6480000000001</v>
      </c>
      <c r="I825" s="11">
        <v>3194.6089999999999</v>
      </c>
      <c r="J825" s="11">
        <v>3629.8870000000002</v>
      </c>
      <c r="K825" s="11">
        <v>4188.2730000000001</v>
      </c>
      <c r="L825" s="11">
        <v>4908.5780000000004</v>
      </c>
      <c r="M825" s="11">
        <v>5833.8779999999997</v>
      </c>
      <c r="N825" s="11">
        <v>6654.13</v>
      </c>
      <c r="O825" s="11">
        <v>7840.9120000000003</v>
      </c>
      <c r="P825" s="11">
        <v>8639.1720000000005</v>
      </c>
      <c r="Q825" s="11">
        <v>9923.18</v>
      </c>
      <c r="R825" s="11">
        <v>10574.558999999999</v>
      </c>
      <c r="S825" s="11">
        <v>10926.319</v>
      </c>
      <c r="T825" s="11">
        <v>11589.459000000001</v>
      </c>
      <c r="U825" s="11">
        <v>12636.683000000001</v>
      </c>
      <c r="V825" s="11">
        <v>12966.33</v>
      </c>
      <c r="W825" s="11">
        <v>13577.552</v>
      </c>
      <c r="X825" s="11">
        <v>13955.037</v>
      </c>
      <c r="Y825" s="11">
        <v>14772.915000000001</v>
      </c>
      <c r="Z825" s="11">
        <v>15122.695</v>
      </c>
      <c r="AA825" s="11">
        <v>15058.228999999999</v>
      </c>
      <c r="AB825" s="11">
        <v>15683.47</v>
      </c>
      <c r="AC825" s="11">
        <v>16131.012000000001</v>
      </c>
      <c r="AD825" s="11">
        <v>16282.948</v>
      </c>
      <c r="AE825" s="11">
        <v>16878.745999999999</v>
      </c>
      <c r="AF825" s="11">
        <v>17248.091</v>
      </c>
      <c r="AG825" s="11">
        <v>17958.628000000001</v>
      </c>
      <c r="AH825" s="11">
        <v>16769.864000000001</v>
      </c>
      <c r="AO825" s="11">
        <v>219.47200000000001</v>
      </c>
      <c r="AP825" s="11">
        <v>1778.085</v>
      </c>
      <c r="AQ825" s="11">
        <v>4188.2730000000001</v>
      </c>
      <c r="AR825" s="11">
        <v>7840.9120000000003</v>
      </c>
      <c r="AS825" s="11">
        <v>10926.319</v>
      </c>
      <c r="AT825" s="11">
        <v>13577.552</v>
      </c>
      <c r="AU825" s="11">
        <v>15058.228999999999</v>
      </c>
      <c r="AV825" s="11">
        <v>16878.745999999999</v>
      </c>
    </row>
    <row r="826" spans="2:48" x14ac:dyDescent="0.2">
      <c r="B826" t="s">
        <v>192</v>
      </c>
      <c r="H826" s="11">
        <v>0</v>
      </c>
      <c r="I826" s="11">
        <v>0</v>
      </c>
      <c r="J826" s="11">
        <v>0</v>
      </c>
      <c r="K826" s="11">
        <v>0</v>
      </c>
      <c r="L826" s="11">
        <v>0</v>
      </c>
      <c r="M826" s="11">
        <v>0</v>
      </c>
      <c r="N826" s="11">
        <v>0</v>
      </c>
      <c r="O826" s="11">
        <v>898.74800000000005</v>
      </c>
      <c r="P826" s="11">
        <v>2114.5410000000002</v>
      </c>
      <c r="Q826" s="11">
        <v>2754.4659999999999</v>
      </c>
      <c r="R826" s="11">
        <v>2773.0230000000001</v>
      </c>
      <c r="S826" s="11">
        <v>1866.316</v>
      </c>
      <c r="T826" s="11">
        <v>634.995</v>
      </c>
      <c r="U826" s="11">
        <v>0</v>
      </c>
      <c r="V826" s="11">
        <v>0</v>
      </c>
      <c r="W826" s="11">
        <v>0</v>
      </c>
      <c r="X826" s="11">
        <v>0</v>
      </c>
      <c r="Y826" s="11">
        <v>0</v>
      </c>
      <c r="Z826" s="11">
        <v>0</v>
      </c>
      <c r="AA826" s="11">
        <v>0</v>
      </c>
      <c r="AB826" s="11">
        <v>0</v>
      </c>
      <c r="AC826" s="11">
        <v>0</v>
      </c>
      <c r="AD826" s="11">
        <v>0</v>
      </c>
      <c r="AE826" s="11">
        <v>0</v>
      </c>
      <c r="AF826" s="11">
        <v>0</v>
      </c>
      <c r="AG826" s="11">
        <v>0</v>
      </c>
      <c r="AH826" s="11">
        <v>0</v>
      </c>
      <c r="AO826" s="11">
        <v>0</v>
      </c>
      <c r="AP826" s="11">
        <v>0</v>
      </c>
      <c r="AQ826" s="11">
        <v>0</v>
      </c>
      <c r="AR826" s="11">
        <v>898.74800000000005</v>
      </c>
      <c r="AS826" s="11">
        <v>1866.316</v>
      </c>
      <c r="AT826" s="11">
        <v>0</v>
      </c>
      <c r="AU826" s="11">
        <v>0</v>
      </c>
      <c r="AV826" s="11">
        <v>0</v>
      </c>
    </row>
    <row r="827" spans="2:48" x14ac:dyDescent="0.2">
      <c r="B827" t="s">
        <v>141</v>
      </c>
      <c r="H827" s="11">
        <v>0</v>
      </c>
      <c r="I827" s="11">
        <v>0</v>
      </c>
      <c r="J827" s="11">
        <v>0</v>
      </c>
      <c r="K827" s="11">
        <v>0</v>
      </c>
      <c r="L827" s="11">
        <v>73.037000000000006</v>
      </c>
      <c r="M827" s="11">
        <v>80.025999999999996</v>
      </c>
      <c r="N827" s="11">
        <v>80.882000000000005</v>
      </c>
      <c r="O827" s="11">
        <v>115.73399999999999</v>
      </c>
      <c r="P827" s="11">
        <v>118.28100000000001</v>
      </c>
      <c r="Q827" s="11">
        <v>144.29300000000001</v>
      </c>
      <c r="R827" s="11">
        <v>182.31800000000001</v>
      </c>
      <c r="S827" s="11">
        <v>253.036</v>
      </c>
      <c r="T827" s="11">
        <v>271.94</v>
      </c>
      <c r="U827" s="11">
        <v>302.63900000000001</v>
      </c>
      <c r="V827" s="11">
        <v>338.709</v>
      </c>
      <c r="W827" s="11">
        <v>427.16399999999999</v>
      </c>
      <c r="X827" s="11">
        <v>418.35599999999999</v>
      </c>
      <c r="Y827" s="11">
        <v>477.63900000000001</v>
      </c>
      <c r="Z827" s="11">
        <v>512.83799999999997</v>
      </c>
      <c r="AA827" s="11">
        <v>602.03599999999994</v>
      </c>
      <c r="AB827" s="11">
        <v>729.44600000000003</v>
      </c>
      <c r="AC827" s="11">
        <v>955.39499999999998</v>
      </c>
      <c r="AD827" s="11">
        <v>1381.067</v>
      </c>
      <c r="AE827" s="11">
        <v>1641.548</v>
      </c>
      <c r="AF827" s="11">
        <v>1727.492</v>
      </c>
      <c r="AG827" s="11">
        <v>1865.8779999999999</v>
      </c>
      <c r="AH827" s="11">
        <v>2015.098</v>
      </c>
      <c r="AO827" s="11">
        <v>0</v>
      </c>
      <c r="AP827" s="11">
        <v>0</v>
      </c>
      <c r="AQ827" s="11">
        <v>0</v>
      </c>
      <c r="AR827" s="11">
        <v>115.73399999999999</v>
      </c>
      <c r="AS827" s="11">
        <v>253.036</v>
      </c>
      <c r="AT827" s="11">
        <v>427.16399999999999</v>
      </c>
      <c r="AU827" s="11">
        <v>602.03599999999994</v>
      </c>
      <c r="AV827" s="11">
        <v>1641.548</v>
      </c>
    </row>
    <row r="828" spans="2:48" x14ac:dyDescent="0.2">
      <c r="B828" t="s">
        <v>193</v>
      </c>
      <c r="H828" s="11">
        <v>0</v>
      </c>
      <c r="I828" s="11">
        <v>0</v>
      </c>
      <c r="J828" s="11">
        <v>0</v>
      </c>
      <c r="K828" s="11">
        <v>0</v>
      </c>
      <c r="L828" s="11">
        <v>0</v>
      </c>
      <c r="M828" s="11">
        <v>0</v>
      </c>
      <c r="N828" s="11">
        <v>0</v>
      </c>
      <c r="O828" s="11">
        <v>0</v>
      </c>
      <c r="P828" s="11">
        <v>0</v>
      </c>
      <c r="Q828" s="11">
        <v>0</v>
      </c>
      <c r="R828" s="11">
        <v>0</v>
      </c>
      <c r="S828" s="11">
        <v>0</v>
      </c>
      <c r="T828" s="11">
        <v>0</v>
      </c>
      <c r="U828" s="11">
        <v>0</v>
      </c>
      <c r="V828" s="11">
        <v>0</v>
      </c>
      <c r="W828" s="11">
        <v>0</v>
      </c>
      <c r="X828" s="11">
        <v>0</v>
      </c>
      <c r="Y828" s="11">
        <v>0</v>
      </c>
      <c r="Z828" s="11">
        <v>0</v>
      </c>
      <c r="AA828" s="11">
        <v>13885.751</v>
      </c>
      <c r="AB828" s="11">
        <v>13712.209000000001</v>
      </c>
      <c r="AC828" s="11">
        <v>14431.092000000001</v>
      </c>
      <c r="AD828" s="11">
        <v>14351.445</v>
      </c>
      <c r="AE828" s="11">
        <v>648.57000000000005</v>
      </c>
      <c r="AF828" s="11">
        <v>73.950999999999993</v>
      </c>
      <c r="AG828" s="11">
        <v>0.249</v>
      </c>
      <c r="AH828" s="11">
        <v>0</v>
      </c>
      <c r="AO828" s="11">
        <v>0</v>
      </c>
      <c r="AP828" s="11">
        <v>0</v>
      </c>
      <c r="AQ828" s="11">
        <v>0</v>
      </c>
      <c r="AR828" s="11">
        <v>0</v>
      </c>
      <c r="AS828" s="11">
        <v>0</v>
      </c>
      <c r="AT828" s="11">
        <v>0</v>
      </c>
      <c r="AU828" s="11">
        <v>13885.751</v>
      </c>
      <c r="AV828" s="11">
        <v>648.57000000000005</v>
      </c>
    </row>
    <row r="829" spans="2:48" x14ac:dyDescent="0.2">
      <c r="B829" t="s">
        <v>194</v>
      </c>
      <c r="H829" s="11">
        <v>0</v>
      </c>
      <c r="I829" s="11">
        <v>0</v>
      </c>
      <c r="J829" s="11">
        <v>0</v>
      </c>
      <c r="K829" s="11">
        <v>0</v>
      </c>
      <c r="L829" s="11">
        <v>0</v>
      </c>
      <c r="M829" s="11">
        <v>0</v>
      </c>
      <c r="N829" s="11">
        <v>0</v>
      </c>
      <c r="O829" s="11">
        <v>0</v>
      </c>
      <c r="P829" s="11">
        <v>0</v>
      </c>
      <c r="Q829" s="11">
        <v>0</v>
      </c>
      <c r="R829" s="11">
        <v>0</v>
      </c>
      <c r="S829" s="11">
        <v>0</v>
      </c>
      <c r="T829" s="11">
        <v>0</v>
      </c>
      <c r="U829" s="11">
        <v>0</v>
      </c>
      <c r="V829" s="11">
        <v>0</v>
      </c>
      <c r="W829" s="11">
        <v>0</v>
      </c>
      <c r="X829" s="11">
        <v>0</v>
      </c>
      <c r="Y829" s="11">
        <v>0</v>
      </c>
      <c r="Z829" s="11">
        <v>0</v>
      </c>
      <c r="AA829" s="11">
        <v>0</v>
      </c>
      <c r="AB829" s="11">
        <v>0</v>
      </c>
      <c r="AC829" s="11">
        <v>0</v>
      </c>
      <c r="AD829" s="11">
        <v>0</v>
      </c>
      <c r="AE829" s="11">
        <v>0</v>
      </c>
      <c r="AF829" s="11">
        <v>0</v>
      </c>
      <c r="AG829" s="11">
        <v>0</v>
      </c>
      <c r="AH829" s="11">
        <v>0</v>
      </c>
      <c r="AO829" s="11">
        <v>0</v>
      </c>
      <c r="AP829" s="11">
        <v>0</v>
      </c>
      <c r="AQ829" s="11">
        <v>0</v>
      </c>
      <c r="AR829" s="11">
        <v>0</v>
      </c>
      <c r="AS829" s="11">
        <v>0</v>
      </c>
      <c r="AT829" s="11">
        <v>0</v>
      </c>
      <c r="AU829" s="11">
        <v>0</v>
      </c>
      <c r="AV829" s="11">
        <v>0</v>
      </c>
    </row>
    <row r="830" spans="2:48" ht="13.5" x14ac:dyDescent="0.35">
      <c r="B830" t="s">
        <v>195</v>
      </c>
      <c r="H830" s="13">
        <v>0</v>
      </c>
      <c r="I830" s="13">
        <v>0</v>
      </c>
      <c r="J830" s="13">
        <v>0</v>
      </c>
      <c r="K830" s="13">
        <v>0</v>
      </c>
      <c r="L830" s="13">
        <v>0</v>
      </c>
      <c r="M830" s="13">
        <v>0</v>
      </c>
      <c r="N830" s="13">
        <v>0</v>
      </c>
      <c r="O830" s="13">
        <v>0</v>
      </c>
      <c r="P830" s="13">
        <v>0</v>
      </c>
      <c r="Q830" s="13">
        <v>0</v>
      </c>
      <c r="R830" s="13">
        <v>0</v>
      </c>
      <c r="S830" s="13">
        <v>0</v>
      </c>
      <c r="T830" s="13">
        <v>0</v>
      </c>
      <c r="U830" s="13">
        <v>0</v>
      </c>
      <c r="V830" s="13">
        <v>0</v>
      </c>
      <c r="W830" s="13">
        <v>0</v>
      </c>
      <c r="X830" s="13">
        <v>0</v>
      </c>
      <c r="Y830" s="13">
        <v>0</v>
      </c>
      <c r="Z830" s="13">
        <v>0</v>
      </c>
      <c r="AA830" s="13">
        <v>0</v>
      </c>
      <c r="AB830" s="13">
        <v>0</v>
      </c>
      <c r="AC830" s="13">
        <v>0</v>
      </c>
      <c r="AD830" s="13">
        <v>0</v>
      </c>
      <c r="AE830" s="13">
        <v>0</v>
      </c>
      <c r="AF830" s="13">
        <v>0</v>
      </c>
      <c r="AG830" s="13">
        <v>0</v>
      </c>
      <c r="AH830" s="13">
        <v>0</v>
      </c>
      <c r="AO830" s="13">
        <v>9.0640000000000001</v>
      </c>
      <c r="AP830" s="13">
        <v>0</v>
      </c>
      <c r="AQ830" s="13">
        <v>0</v>
      </c>
      <c r="AR830" s="13">
        <v>0</v>
      </c>
      <c r="AS830" s="13">
        <v>0</v>
      </c>
      <c r="AT830" s="13">
        <v>0</v>
      </c>
      <c r="AU830" s="13">
        <v>0</v>
      </c>
      <c r="AV830" s="13">
        <v>0</v>
      </c>
    </row>
    <row r="831" spans="2:48" s="1" customFormat="1" x14ac:dyDescent="0.2">
      <c r="B831" s="38" t="s">
        <v>209</v>
      </c>
      <c r="H831" s="42">
        <f>SUM(H821:H830)</f>
        <v>11753.444</v>
      </c>
      <c r="I831" s="42">
        <f t="shared" ref="I831:AE831" si="3018">SUM(I821:I830)</f>
        <v>13883.145999999999</v>
      </c>
      <c r="J831" s="42">
        <f t="shared" si="3018"/>
        <v>16243.254000000001</v>
      </c>
      <c r="K831" s="42">
        <f t="shared" si="3018"/>
        <v>24359.469000000005</v>
      </c>
      <c r="L831" s="42">
        <f t="shared" si="3018"/>
        <v>24582.416000000001</v>
      </c>
      <c r="M831" s="42">
        <f t="shared" si="3018"/>
        <v>28998.368000000002</v>
      </c>
      <c r="N831" s="42">
        <f t="shared" si="3018"/>
        <v>33217.023999999998</v>
      </c>
      <c r="O831" s="42">
        <f t="shared" si="3018"/>
        <v>45767.806000000004</v>
      </c>
      <c r="P831" s="42">
        <f t="shared" si="3018"/>
        <v>48632.781999999999</v>
      </c>
      <c r="Q831" s="42">
        <f t="shared" si="3018"/>
        <v>55385.75499999999</v>
      </c>
      <c r="R831" s="42">
        <f t="shared" si="3018"/>
        <v>65075.548000000003</v>
      </c>
      <c r="S831" s="42">
        <f t="shared" si="3018"/>
        <v>83882.077000000005</v>
      </c>
      <c r="T831" s="42">
        <f t="shared" si="3018"/>
        <v>79138.266999999993</v>
      </c>
      <c r="U831" s="42">
        <f t="shared" si="3018"/>
        <v>80073.983000000007</v>
      </c>
      <c r="V831" s="42">
        <f t="shared" si="3018"/>
        <v>86296.875000000015</v>
      </c>
      <c r="W831" s="42">
        <f t="shared" si="3018"/>
        <v>93729.714000000007</v>
      </c>
      <c r="X831" s="42">
        <f t="shared" si="3018"/>
        <v>77522.396999999997</v>
      </c>
      <c r="Y831" s="42">
        <f t="shared" si="3018"/>
        <v>85714.41399999999</v>
      </c>
      <c r="Z831" s="42">
        <f t="shared" si="3018"/>
        <v>85432.20600000002</v>
      </c>
      <c r="AA831" s="42">
        <f t="shared" si="3018"/>
        <v>116889.48</v>
      </c>
      <c r="AB831" s="42">
        <f t="shared" si="3018"/>
        <v>111022.61600000001</v>
      </c>
      <c r="AC831" s="42">
        <f t="shared" si="3018"/>
        <v>125994.09700000001</v>
      </c>
      <c r="AD831" s="42">
        <f t="shared" si="3018"/>
        <v>148124.26600000003</v>
      </c>
      <c r="AE831" s="42">
        <f t="shared" si="3018"/>
        <v>152900.90100000001</v>
      </c>
      <c r="AF831" s="42">
        <f t="shared" ref="AF831:AG831" si="3019">SUM(AF821:AF830)</f>
        <v>151398.00899999999</v>
      </c>
      <c r="AG831" s="42">
        <f t="shared" si="3019"/>
        <v>170833.10399999999</v>
      </c>
      <c r="AH831" s="42">
        <f t="shared" ref="AH831" si="3020">SUM(AH821:AH830)</f>
        <v>179996.92199999999</v>
      </c>
      <c r="AO831" s="42">
        <f t="shared" ref="AO831" si="3021">SUM(AO821:AO830)</f>
        <v>1414.2960000000003</v>
      </c>
      <c r="AP831" s="42">
        <f t="shared" ref="AP831" si="3022">SUM(AP821:AP830)</f>
        <v>12109.507000000001</v>
      </c>
      <c r="AQ831" s="42">
        <f t="shared" ref="AQ831" si="3023">SUM(AQ821:AQ830)</f>
        <v>24359.469000000005</v>
      </c>
      <c r="AR831" s="42">
        <f t="shared" ref="AR831" si="3024">SUM(AR821:AR830)</f>
        <v>45767.806000000004</v>
      </c>
      <c r="AS831" s="42">
        <f t="shared" ref="AS831" si="3025">SUM(AS821:AS830)</f>
        <v>83882.077000000005</v>
      </c>
      <c r="AT831" s="42">
        <f t="shared" ref="AT831" si="3026">SUM(AT821:AT830)</f>
        <v>93729.714000000007</v>
      </c>
      <c r="AU831" s="42">
        <f t="shared" ref="AU831:AV831" si="3027">SUM(AU821:AU830)</f>
        <v>116889.48</v>
      </c>
      <c r="AV831" s="42">
        <f t="shared" si="3027"/>
        <v>152900.90100000001</v>
      </c>
    </row>
    <row r="833" spans="2:48" x14ac:dyDescent="0.2">
      <c r="B833" s="1" t="s">
        <v>196</v>
      </c>
    </row>
    <row r="834" spans="2:48" x14ac:dyDescent="0.2">
      <c r="B834" t="s">
        <v>211</v>
      </c>
      <c r="H834" s="11">
        <v>10950.505000000001</v>
      </c>
      <c r="I834" s="11">
        <v>10950.504999999999</v>
      </c>
      <c r="J834" s="11">
        <v>0</v>
      </c>
      <c r="K834" s="11">
        <v>0</v>
      </c>
      <c r="L834" s="11">
        <v>0</v>
      </c>
      <c r="M834" s="11">
        <v>0</v>
      </c>
      <c r="N834" s="11">
        <v>0</v>
      </c>
      <c r="O834" s="11">
        <v>0</v>
      </c>
      <c r="P834" s="11">
        <v>0</v>
      </c>
      <c r="Q834" s="11">
        <v>0</v>
      </c>
      <c r="R834" s="11">
        <v>0</v>
      </c>
      <c r="S834" s="11">
        <v>0</v>
      </c>
      <c r="T834" s="11">
        <v>0</v>
      </c>
      <c r="U834" s="11">
        <v>0</v>
      </c>
      <c r="V834" s="11">
        <v>0</v>
      </c>
      <c r="W834" s="11">
        <v>0</v>
      </c>
      <c r="X834" s="11">
        <v>0</v>
      </c>
      <c r="Y834" s="11">
        <v>0</v>
      </c>
      <c r="Z834" s="11">
        <v>0</v>
      </c>
      <c r="AA834" s="11">
        <v>0</v>
      </c>
      <c r="AB834" s="11">
        <v>0</v>
      </c>
      <c r="AC834" s="11">
        <v>0</v>
      </c>
      <c r="AD834" s="11">
        <v>0</v>
      </c>
      <c r="AE834" s="11">
        <v>0</v>
      </c>
      <c r="AF834" s="11">
        <v>0</v>
      </c>
      <c r="AG834" s="11">
        <v>0</v>
      </c>
      <c r="AH834" s="11">
        <v>0</v>
      </c>
      <c r="AO834" s="11">
        <v>782.73299999999995</v>
      </c>
      <c r="AP834" s="11">
        <v>2196.9210000000003</v>
      </c>
      <c r="AQ834" s="11">
        <v>0</v>
      </c>
      <c r="AR834" s="11">
        <v>0</v>
      </c>
      <c r="AS834" s="11">
        <v>0</v>
      </c>
      <c r="AT834" s="11">
        <v>0</v>
      </c>
      <c r="AU834" s="11">
        <v>0</v>
      </c>
      <c r="AV834" s="11">
        <v>0</v>
      </c>
    </row>
    <row r="835" spans="2:48" x14ac:dyDescent="0.2">
      <c r="B835" t="s">
        <v>197</v>
      </c>
      <c r="H835" s="11">
        <v>0</v>
      </c>
      <c r="I835" s="11">
        <v>0</v>
      </c>
      <c r="J835" s="11">
        <v>0</v>
      </c>
      <c r="K835" s="11">
        <v>0</v>
      </c>
      <c r="L835" s="11">
        <v>0</v>
      </c>
      <c r="M835" s="11">
        <v>0</v>
      </c>
      <c r="N835" s="11">
        <v>5140.3050000000003</v>
      </c>
      <c r="O835" s="11">
        <v>5206.6819999999998</v>
      </c>
      <c r="P835" s="11">
        <v>5430.4870000000001</v>
      </c>
      <c r="Q835" s="11">
        <v>5572.4489999999996</v>
      </c>
      <c r="R835" s="11">
        <v>5504.8729999999996</v>
      </c>
      <c r="S835" s="11">
        <v>14432.791999999999</v>
      </c>
      <c r="T835" s="11">
        <v>11502.472</v>
      </c>
      <c r="U835" s="11">
        <v>11342.314</v>
      </c>
      <c r="V835" s="11">
        <v>11684.597</v>
      </c>
      <c r="W835" s="11">
        <v>11788.906999999999</v>
      </c>
      <c r="X835" s="11">
        <v>14057.021000000001</v>
      </c>
      <c r="Y835" s="11">
        <v>14874.632</v>
      </c>
      <c r="Z835" s="11">
        <v>15749.602999999999</v>
      </c>
      <c r="AA835" s="11">
        <v>1575.7550000000001</v>
      </c>
      <c r="AB835" s="11">
        <v>1554.7360000000001</v>
      </c>
      <c r="AC835" s="11">
        <v>1634.8520000000001</v>
      </c>
      <c r="AD835" s="11">
        <v>1623.7260000000001</v>
      </c>
      <c r="AE835" s="11">
        <v>5231.5230000000001</v>
      </c>
      <c r="AF835" s="11">
        <v>5240.6080000000002</v>
      </c>
      <c r="AG835" s="11">
        <v>5264.0969999999998</v>
      </c>
      <c r="AH835" s="11">
        <v>5175.9040000000005</v>
      </c>
      <c r="AO835" s="11">
        <v>0</v>
      </c>
      <c r="AP835" s="11">
        <v>0</v>
      </c>
      <c r="AQ835" s="11">
        <v>0</v>
      </c>
      <c r="AR835" s="11">
        <v>5206.6819999999998</v>
      </c>
      <c r="AS835" s="11">
        <v>14432.791999999999</v>
      </c>
      <c r="AT835" s="11">
        <v>11788.906999999999</v>
      </c>
      <c r="AU835" s="11">
        <v>1575.7550000000001</v>
      </c>
      <c r="AV835" s="11">
        <v>5231.5230000000001</v>
      </c>
    </row>
    <row r="836" spans="2:48" x14ac:dyDescent="0.2">
      <c r="B836" t="s">
        <v>141</v>
      </c>
      <c r="H836" s="11">
        <v>0</v>
      </c>
      <c r="I836" s="11">
        <v>0</v>
      </c>
      <c r="J836" s="11">
        <v>0</v>
      </c>
      <c r="K836" s="11">
        <v>0</v>
      </c>
      <c r="L836" s="11">
        <v>163.785</v>
      </c>
      <c r="M836" s="11">
        <v>247.42599999999999</v>
      </c>
      <c r="N836" s="11">
        <v>254.50800000000001</v>
      </c>
      <c r="O836" s="11">
        <v>428.59300000000002</v>
      </c>
      <c r="P836" s="11">
        <v>397.12700000000001</v>
      </c>
      <c r="Q836" s="11">
        <v>410.53100000000001</v>
      </c>
      <c r="R836" s="11">
        <v>390.803</v>
      </c>
      <c r="S836" s="11">
        <v>414.93900000000002</v>
      </c>
      <c r="T836" s="11">
        <v>418.33</v>
      </c>
      <c r="U836" s="11">
        <v>423.59500000000003</v>
      </c>
      <c r="V836" s="11">
        <v>437.82799999999997</v>
      </c>
      <c r="W836" s="11">
        <v>544.26300000000003</v>
      </c>
      <c r="X836" s="11">
        <v>453.62099999999998</v>
      </c>
      <c r="Y836" s="11">
        <v>462.40100000000001</v>
      </c>
      <c r="Z836" s="11">
        <v>750.25699999999995</v>
      </c>
      <c r="AA836" s="11">
        <v>870.78200000000004</v>
      </c>
      <c r="AB836" s="11">
        <v>978.399</v>
      </c>
      <c r="AC836" s="11">
        <v>1248.107</v>
      </c>
      <c r="AD836" s="11">
        <v>2397.2220000000002</v>
      </c>
      <c r="AE836" s="11">
        <v>2644.26</v>
      </c>
      <c r="AF836" s="11">
        <v>2437.62</v>
      </c>
      <c r="AG836" s="11">
        <v>2634.8620000000001</v>
      </c>
      <c r="AH836" s="11">
        <v>3045.8290000000002</v>
      </c>
      <c r="AO836" s="11">
        <v>0</v>
      </c>
      <c r="AP836" s="11">
        <v>0</v>
      </c>
      <c r="AQ836" s="11">
        <v>0</v>
      </c>
      <c r="AR836" s="11">
        <v>428.59300000000002</v>
      </c>
      <c r="AS836" s="11">
        <v>414.93900000000002</v>
      </c>
      <c r="AT836" s="11">
        <v>544.26300000000003</v>
      </c>
      <c r="AU836" s="11">
        <v>870.78200000000004</v>
      </c>
      <c r="AV836" s="11">
        <v>2644.26</v>
      </c>
    </row>
    <row r="837" spans="2:48" x14ac:dyDescent="0.2">
      <c r="B837" t="s">
        <v>198</v>
      </c>
      <c r="H837" s="11">
        <v>0</v>
      </c>
      <c r="I837" s="11">
        <v>0</v>
      </c>
      <c r="J837" s="11">
        <v>0</v>
      </c>
      <c r="K837" s="11">
        <v>0</v>
      </c>
      <c r="L837" s="11">
        <v>0</v>
      </c>
      <c r="M837" s="11">
        <v>0</v>
      </c>
      <c r="N837" s="11">
        <v>0</v>
      </c>
      <c r="O837" s="11">
        <v>0</v>
      </c>
      <c r="P837" s="11">
        <v>0</v>
      </c>
      <c r="Q837" s="11">
        <v>0</v>
      </c>
      <c r="R837" s="11">
        <v>0</v>
      </c>
      <c r="S837" s="11">
        <v>0</v>
      </c>
      <c r="T837" s="11">
        <v>0</v>
      </c>
      <c r="U837" s="11">
        <v>0</v>
      </c>
      <c r="V837" s="11">
        <v>0</v>
      </c>
      <c r="W837" s="11">
        <v>31.291</v>
      </c>
      <c r="X837" s="11">
        <v>32.069000000000003</v>
      </c>
      <c r="Y837" s="11">
        <v>38.668999999999997</v>
      </c>
      <c r="Z837" s="11">
        <v>46.046999999999997</v>
      </c>
      <c r="AA837" s="11">
        <v>13.025</v>
      </c>
      <c r="AB837" s="11">
        <v>0.38200000000000001</v>
      </c>
      <c r="AC837" s="11">
        <v>64.221999999999994</v>
      </c>
      <c r="AD837" s="11">
        <v>55.902999999999999</v>
      </c>
      <c r="AE837" s="11">
        <v>59.829000000000001</v>
      </c>
      <c r="AF837" s="11">
        <v>43.920999999999999</v>
      </c>
      <c r="AG837" s="11">
        <v>34.061</v>
      </c>
      <c r="AH837" s="11">
        <v>70.293999999999997</v>
      </c>
      <c r="AO837" s="11">
        <v>0</v>
      </c>
      <c r="AP837" s="11">
        <v>0</v>
      </c>
      <c r="AQ837" s="11">
        <v>0</v>
      </c>
      <c r="AR837" s="11">
        <v>0</v>
      </c>
      <c r="AS837" s="11">
        <v>0</v>
      </c>
      <c r="AT837" s="11">
        <v>31.291</v>
      </c>
      <c r="AU837" s="11">
        <v>13.025</v>
      </c>
      <c r="AV837" s="11">
        <v>59.829000000000001</v>
      </c>
    </row>
    <row r="838" spans="2:48" ht="13.5" x14ac:dyDescent="0.35">
      <c r="B838" t="s">
        <v>143</v>
      </c>
      <c r="H838" s="13">
        <v>0</v>
      </c>
      <c r="I838" s="13">
        <v>0</v>
      </c>
      <c r="J838" s="13">
        <v>0</v>
      </c>
      <c r="K838" s="13">
        <v>0</v>
      </c>
      <c r="L838" s="13">
        <v>8.4350000000000005</v>
      </c>
      <c r="M838" s="13">
        <v>8.1709999999999994</v>
      </c>
      <c r="N838" s="13">
        <v>7.9489999999999998</v>
      </c>
      <c r="O838" s="13">
        <v>7.3890000000000002</v>
      </c>
      <c r="P838" s="13">
        <v>7.05</v>
      </c>
      <c r="Q838" s="13">
        <v>38.070999999999998</v>
      </c>
      <c r="R838" s="13">
        <v>36.04</v>
      </c>
      <c r="S838" s="13">
        <v>2.9180000000000001</v>
      </c>
      <c r="T838" s="13">
        <v>2.4670000000000001</v>
      </c>
      <c r="U838" s="13">
        <v>1.9570000000000001</v>
      </c>
      <c r="V838" s="13">
        <v>1.4890000000000001</v>
      </c>
      <c r="W838" s="13">
        <v>0.996</v>
      </c>
      <c r="X838" s="13">
        <v>0.53600000000000003</v>
      </c>
      <c r="Y838" s="13">
        <v>0.08</v>
      </c>
      <c r="Z838" s="13">
        <v>0</v>
      </c>
      <c r="AA838" s="13">
        <v>0</v>
      </c>
      <c r="AB838" s="13">
        <v>0</v>
      </c>
      <c r="AC838" s="13">
        <v>0</v>
      </c>
      <c r="AD838" s="13">
        <v>0</v>
      </c>
      <c r="AE838" s="13">
        <v>0</v>
      </c>
      <c r="AF838" s="13">
        <v>0</v>
      </c>
      <c r="AG838" s="13">
        <v>0</v>
      </c>
      <c r="AH838" s="13">
        <v>0</v>
      </c>
      <c r="AI838" s="16"/>
      <c r="AJ838" s="16"/>
      <c r="AK838" s="16"/>
      <c r="AL838" s="16"/>
      <c r="AM838" s="16"/>
      <c r="AN838" s="16"/>
      <c r="AO838" s="13">
        <v>0</v>
      </c>
      <c r="AP838" s="13">
        <v>0</v>
      </c>
      <c r="AQ838" s="13">
        <v>0</v>
      </c>
      <c r="AR838" s="13">
        <v>7.3890000000000002</v>
      </c>
      <c r="AS838" s="13">
        <v>2.9180000000000001</v>
      </c>
      <c r="AT838" s="13">
        <v>0.996</v>
      </c>
      <c r="AU838" s="13">
        <v>0</v>
      </c>
      <c r="AV838" s="13">
        <v>0</v>
      </c>
    </row>
    <row r="839" spans="2:48" x14ac:dyDescent="0.2">
      <c r="B839" s="4" t="s">
        <v>210</v>
      </c>
      <c r="H839" s="10">
        <f>SUM(H834:H838)</f>
        <v>10950.505000000001</v>
      </c>
      <c r="I839" s="10">
        <f t="shared" ref="I839:AE839" si="3028">SUM(I834:I838)</f>
        <v>10950.504999999999</v>
      </c>
      <c r="J839" s="10">
        <f t="shared" si="3028"/>
        <v>0</v>
      </c>
      <c r="K839" s="10">
        <f t="shared" si="3028"/>
        <v>0</v>
      </c>
      <c r="L839" s="10">
        <f t="shared" si="3028"/>
        <v>172.22</v>
      </c>
      <c r="M839" s="10">
        <f t="shared" si="3028"/>
        <v>255.59699999999998</v>
      </c>
      <c r="N839" s="10">
        <f t="shared" si="3028"/>
        <v>5402.7619999999997</v>
      </c>
      <c r="O839" s="10">
        <f t="shared" si="3028"/>
        <v>5642.6639999999998</v>
      </c>
      <c r="P839" s="10">
        <f t="shared" si="3028"/>
        <v>5834.6640000000007</v>
      </c>
      <c r="Q839" s="10">
        <f t="shared" si="3028"/>
        <v>6021.0509999999995</v>
      </c>
      <c r="R839" s="10">
        <f t="shared" si="3028"/>
        <v>5931.7159999999994</v>
      </c>
      <c r="S839" s="10">
        <f t="shared" si="3028"/>
        <v>14850.648999999999</v>
      </c>
      <c r="T839" s="10">
        <f t="shared" si="3028"/>
        <v>11923.269</v>
      </c>
      <c r="U839" s="10">
        <f t="shared" si="3028"/>
        <v>11767.866</v>
      </c>
      <c r="V839" s="10">
        <f t="shared" si="3028"/>
        <v>12123.913999999999</v>
      </c>
      <c r="W839" s="10">
        <f t="shared" si="3028"/>
        <v>12365.456999999999</v>
      </c>
      <c r="X839" s="10">
        <f t="shared" si="3028"/>
        <v>14543.246999999999</v>
      </c>
      <c r="Y839" s="10">
        <f t="shared" si="3028"/>
        <v>15375.781999999999</v>
      </c>
      <c r="Z839" s="10">
        <f t="shared" si="3028"/>
        <v>16545.906999999999</v>
      </c>
      <c r="AA839" s="10">
        <f t="shared" si="3028"/>
        <v>2459.5620000000004</v>
      </c>
      <c r="AB839" s="10">
        <f t="shared" si="3028"/>
        <v>2533.5170000000003</v>
      </c>
      <c r="AC839" s="10">
        <f t="shared" si="3028"/>
        <v>2947.181</v>
      </c>
      <c r="AD839" s="10">
        <f t="shared" si="3028"/>
        <v>4076.8510000000001</v>
      </c>
      <c r="AE839" s="10">
        <f t="shared" si="3028"/>
        <v>7935.6120000000001</v>
      </c>
      <c r="AF839" s="10">
        <f t="shared" ref="AF839:AG839" si="3029">SUM(AF834:AF838)</f>
        <v>7722.1490000000003</v>
      </c>
      <c r="AG839" s="10">
        <f t="shared" si="3029"/>
        <v>7933.0199999999995</v>
      </c>
      <c r="AH839" s="10">
        <f t="shared" ref="AH839" si="3030">SUM(AH834:AH838)</f>
        <v>8292.027</v>
      </c>
      <c r="AO839" s="10">
        <f t="shared" ref="AO839" si="3031">SUM(AO834:AO838)</f>
        <v>782.73299999999995</v>
      </c>
      <c r="AP839" s="10">
        <f t="shared" ref="AP839" si="3032">SUM(AP834:AP838)</f>
        <v>2196.9210000000003</v>
      </c>
      <c r="AQ839" s="10">
        <f t="shared" ref="AQ839" si="3033">SUM(AQ834:AQ838)</f>
        <v>0</v>
      </c>
      <c r="AR839" s="10">
        <f t="shared" ref="AR839" si="3034">SUM(AR834:AR838)</f>
        <v>5642.6639999999998</v>
      </c>
      <c r="AS839" s="10">
        <f t="shared" ref="AS839" si="3035">SUM(AS834:AS838)</f>
        <v>14850.648999999999</v>
      </c>
      <c r="AT839" s="10">
        <f t="shared" ref="AT839" si="3036">SUM(AT834:AT838)</f>
        <v>12365.456999999999</v>
      </c>
      <c r="AU839" s="10">
        <f t="shared" ref="AU839:AV839" si="3037">SUM(AU834:AU838)</f>
        <v>2459.5620000000004</v>
      </c>
      <c r="AV839" s="10">
        <f t="shared" si="3037"/>
        <v>7935.6120000000001</v>
      </c>
    </row>
    <row r="840" spans="2:48" x14ac:dyDescent="0.2">
      <c r="B840" s="4"/>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O840" s="10"/>
      <c r="AP840" s="10"/>
      <c r="AQ840" s="10"/>
      <c r="AR840" s="10"/>
      <c r="AS840" s="10"/>
      <c r="AT840" s="10"/>
      <c r="AU840" s="10"/>
      <c r="AV840" s="10"/>
    </row>
    <row r="841" spans="2:48" s="1" customFormat="1" x14ac:dyDescent="0.2">
      <c r="B841" s="1" t="s">
        <v>212</v>
      </c>
      <c r="H841" s="42">
        <f>+H831+H839</f>
        <v>22703.949000000001</v>
      </c>
      <c r="I841" s="42">
        <f t="shared" ref="I841:AE841" si="3038">+I831+I839</f>
        <v>24833.650999999998</v>
      </c>
      <c r="J841" s="42">
        <f t="shared" si="3038"/>
        <v>16243.254000000001</v>
      </c>
      <c r="K841" s="42">
        <f t="shared" si="3038"/>
        <v>24359.469000000005</v>
      </c>
      <c r="L841" s="42">
        <f t="shared" si="3038"/>
        <v>24754.636000000002</v>
      </c>
      <c r="M841" s="42">
        <f t="shared" si="3038"/>
        <v>29253.965000000004</v>
      </c>
      <c r="N841" s="42">
        <f t="shared" si="3038"/>
        <v>38619.786</v>
      </c>
      <c r="O841" s="42">
        <f t="shared" si="3038"/>
        <v>51410.47</v>
      </c>
      <c r="P841" s="42">
        <f t="shared" si="3038"/>
        <v>54467.445999999996</v>
      </c>
      <c r="Q841" s="42">
        <f t="shared" si="3038"/>
        <v>61406.80599999999</v>
      </c>
      <c r="R841" s="42">
        <f t="shared" si="3038"/>
        <v>71007.263999999996</v>
      </c>
      <c r="S841" s="42">
        <f t="shared" si="3038"/>
        <v>98732.72600000001</v>
      </c>
      <c r="T841" s="42">
        <f t="shared" si="3038"/>
        <v>91061.535999999993</v>
      </c>
      <c r="U841" s="42">
        <f t="shared" si="3038"/>
        <v>91841.849000000002</v>
      </c>
      <c r="V841" s="42">
        <f t="shared" si="3038"/>
        <v>98420.789000000019</v>
      </c>
      <c r="W841" s="42">
        <f t="shared" si="3038"/>
        <v>106095.171</v>
      </c>
      <c r="X841" s="42">
        <f t="shared" si="3038"/>
        <v>92065.644</v>
      </c>
      <c r="Y841" s="42">
        <f t="shared" si="3038"/>
        <v>101090.196</v>
      </c>
      <c r="Z841" s="42">
        <f t="shared" si="3038"/>
        <v>101978.11300000001</v>
      </c>
      <c r="AA841" s="42">
        <f t="shared" si="3038"/>
        <v>119349.042</v>
      </c>
      <c r="AB841" s="42">
        <f t="shared" si="3038"/>
        <v>113556.13300000002</v>
      </c>
      <c r="AC841" s="42">
        <f t="shared" si="3038"/>
        <v>128941.27800000001</v>
      </c>
      <c r="AD841" s="42">
        <f t="shared" si="3038"/>
        <v>152201.11700000003</v>
      </c>
      <c r="AE841" s="42">
        <f t="shared" si="3038"/>
        <v>160836.51300000001</v>
      </c>
      <c r="AF841" s="42">
        <f t="shared" ref="AF841:AG841" si="3039">+AF831+AF839</f>
        <v>159120.158</v>
      </c>
      <c r="AG841" s="42">
        <f t="shared" si="3039"/>
        <v>178766.12399999998</v>
      </c>
      <c r="AH841" s="42">
        <f t="shared" ref="AH841" si="3040">+AH831+AH839</f>
        <v>188288.94899999999</v>
      </c>
      <c r="AO841" s="42">
        <f t="shared" ref="AO841:AU841" si="3041">+AO831+AO839</f>
        <v>2197.0290000000005</v>
      </c>
      <c r="AP841" s="42">
        <f t="shared" si="3041"/>
        <v>14306.428000000002</v>
      </c>
      <c r="AQ841" s="42">
        <f t="shared" si="3041"/>
        <v>24359.469000000005</v>
      </c>
      <c r="AR841" s="42">
        <f t="shared" si="3041"/>
        <v>51410.47</v>
      </c>
      <c r="AS841" s="42">
        <f t="shared" si="3041"/>
        <v>98732.72600000001</v>
      </c>
      <c r="AT841" s="42">
        <f t="shared" si="3041"/>
        <v>106095.171</v>
      </c>
      <c r="AU841" s="42">
        <f t="shared" si="3041"/>
        <v>119349.042</v>
      </c>
      <c r="AV841" s="42">
        <f t="shared" ref="AV841" si="3042">+AV831+AV839</f>
        <v>160836.51300000001</v>
      </c>
    </row>
    <row r="843" spans="2:48" x14ac:dyDescent="0.2">
      <c r="B843" s="24" t="s">
        <v>199</v>
      </c>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O843" s="10"/>
      <c r="AP843" s="10"/>
      <c r="AQ843" s="10"/>
      <c r="AR843" s="10"/>
      <c r="AS843" s="10"/>
      <c r="AT843" s="10"/>
      <c r="AU843" s="10"/>
      <c r="AV843" s="10"/>
    </row>
    <row r="844" spans="2:48" x14ac:dyDescent="0.2">
      <c r="B844" t="s">
        <v>449</v>
      </c>
      <c r="H844" s="11">
        <v>5.3999999999999999E-2</v>
      </c>
      <c r="I844" s="11">
        <v>6.2E-2</v>
      </c>
      <c r="J844" s="11">
        <v>0.14200000000000002</v>
      </c>
      <c r="K844" s="11">
        <v>0.14200000000000002</v>
      </c>
      <c r="L844" s="11">
        <v>0.14800000000000002</v>
      </c>
      <c r="M844" s="11">
        <v>0.14800000000000002</v>
      </c>
      <c r="N844" s="11">
        <v>0.14800000000000002</v>
      </c>
      <c r="O844" s="11">
        <v>0.14800000000000002</v>
      </c>
      <c r="P844" s="11">
        <v>0.14799999999999999</v>
      </c>
      <c r="Q844" s="11">
        <v>0.153</v>
      </c>
      <c r="R844" s="11">
        <v>0.153</v>
      </c>
      <c r="S844" s="11">
        <v>0.159</v>
      </c>
      <c r="T844" s="11">
        <v>0.161</v>
      </c>
      <c r="U844" s="11">
        <v>0.161</v>
      </c>
      <c r="V844" s="11">
        <v>0.161</v>
      </c>
      <c r="W844" s="11">
        <v>0.161</v>
      </c>
      <c r="X844" s="11">
        <v>0.16200000000000001</v>
      </c>
      <c r="Y844" s="11">
        <v>0.16200000000000001</v>
      </c>
      <c r="Z844" s="11">
        <v>0.16200000000000001</v>
      </c>
      <c r="AA844" s="11">
        <v>0.17</v>
      </c>
      <c r="AB844" s="11">
        <v>0.17100000000000001</v>
      </c>
      <c r="AC844" s="11">
        <v>0.17599999999999999</v>
      </c>
      <c r="AD844" s="11">
        <v>0.17699999999999999</v>
      </c>
      <c r="AE844" s="11">
        <v>0.17699999999999999</v>
      </c>
      <c r="AF844" s="11">
        <v>0.17799999999999999</v>
      </c>
      <c r="AG844" s="11">
        <v>0.17899999999999999</v>
      </c>
      <c r="AH844" s="11">
        <v>0.17899999999999999</v>
      </c>
      <c r="AO844" s="11">
        <v>5.6000000000000001E-2</v>
      </c>
      <c r="AP844" s="11">
        <v>5.3999999999999999E-2</v>
      </c>
      <c r="AQ844" s="11">
        <v>0.14200000000000002</v>
      </c>
      <c r="AR844" s="11">
        <v>0.14800000000000002</v>
      </c>
      <c r="AS844" s="11">
        <v>0.159</v>
      </c>
      <c r="AT844" s="11">
        <v>0.161</v>
      </c>
      <c r="AU844" s="11">
        <v>0.17</v>
      </c>
      <c r="AV844" s="11">
        <v>0.17699999999999999</v>
      </c>
    </row>
    <row r="845" spans="2:48" x14ac:dyDescent="0.2">
      <c r="B845" t="s">
        <v>200</v>
      </c>
      <c r="H845" s="11">
        <v>74.936000000000007</v>
      </c>
      <c r="I845" s="11">
        <v>5848.893</v>
      </c>
      <c r="J845" s="11">
        <v>28677.618999999999</v>
      </c>
      <c r="K845" s="11">
        <v>29114.526999999998</v>
      </c>
      <c r="L845" s="11">
        <v>37606.981</v>
      </c>
      <c r="M845" s="11">
        <v>38198.955999999998</v>
      </c>
      <c r="N845" s="11">
        <v>40695.277000000002</v>
      </c>
      <c r="O845" s="11">
        <v>41493.949000000001</v>
      </c>
      <c r="P845" s="11">
        <v>42303.322</v>
      </c>
      <c r="Q845" s="11">
        <v>51013.118000000002</v>
      </c>
      <c r="R845" s="11">
        <v>51969.053</v>
      </c>
      <c r="S845" s="11">
        <v>86698.66</v>
      </c>
      <c r="T845" s="11">
        <v>91270.472999999998</v>
      </c>
      <c r="U845" s="11">
        <v>92529.899000000005</v>
      </c>
      <c r="V845" s="11">
        <v>93847.981</v>
      </c>
      <c r="W845" s="11">
        <v>95340.819000000003</v>
      </c>
      <c r="X845" s="11">
        <v>93044.707999999999</v>
      </c>
      <c r="Y845" s="11">
        <v>94889.255000000005</v>
      </c>
      <c r="Z845" s="11">
        <v>96754.398000000001</v>
      </c>
      <c r="AA845" s="11">
        <v>99250.467999999993</v>
      </c>
      <c r="AB845" s="11">
        <v>100784.13099999999</v>
      </c>
      <c r="AC845" s="11">
        <v>102681.784</v>
      </c>
      <c r="AD845" s="11">
        <v>104152.72900000001</v>
      </c>
      <c r="AE845" s="11">
        <v>107293.091</v>
      </c>
      <c r="AF845" s="11">
        <v>110449.151</v>
      </c>
      <c r="AG845" s="11">
        <v>112946.397</v>
      </c>
      <c r="AH845" s="11">
        <v>115424.86500000001</v>
      </c>
      <c r="AO845" s="11">
        <v>21.530999999999999</v>
      </c>
      <c r="AP845" s="11">
        <v>61.326000000000001</v>
      </c>
      <c r="AQ845" s="11">
        <v>29114.526999999998</v>
      </c>
      <c r="AR845" s="11">
        <v>41493.949000000001</v>
      </c>
      <c r="AS845" s="11">
        <v>86698.66</v>
      </c>
      <c r="AT845" s="11">
        <v>95340.819000000003</v>
      </c>
      <c r="AU845" s="11">
        <v>99250.467999999993</v>
      </c>
      <c r="AV845" s="11">
        <v>107293.091</v>
      </c>
    </row>
    <row r="846" spans="2:48" x14ac:dyDescent="0.2">
      <c r="B846" t="s">
        <v>201</v>
      </c>
      <c r="H846" s="11">
        <v>0</v>
      </c>
      <c r="I846" s="11">
        <v>0</v>
      </c>
      <c r="J846" s="11">
        <v>0</v>
      </c>
      <c r="K846" s="11">
        <v>0</v>
      </c>
      <c r="L846" s="11">
        <v>0</v>
      </c>
      <c r="M846" s="11">
        <v>0</v>
      </c>
      <c r="N846" s="11">
        <v>0</v>
      </c>
      <c r="O846" s="11">
        <v>0</v>
      </c>
      <c r="P846" s="11">
        <v>0</v>
      </c>
      <c r="Q846" s="11">
        <v>0</v>
      </c>
      <c r="R846" s="11">
        <v>0</v>
      </c>
      <c r="S846" s="11">
        <v>0</v>
      </c>
      <c r="T846" s="11">
        <v>0</v>
      </c>
      <c r="U846" s="11">
        <v>0</v>
      </c>
      <c r="V846" s="11">
        <v>0</v>
      </c>
      <c r="W846" s="11">
        <v>0</v>
      </c>
      <c r="X846" s="11">
        <v>0</v>
      </c>
      <c r="Y846" s="11">
        <v>0</v>
      </c>
      <c r="Z846" s="11">
        <v>0</v>
      </c>
      <c r="AA846" s="11">
        <v>5</v>
      </c>
      <c r="AB846" s="11">
        <v>5</v>
      </c>
      <c r="AC846" s="11">
        <v>5</v>
      </c>
      <c r="AD846" s="11">
        <v>5</v>
      </c>
      <c r="AE846" s="11">
        <v>105.982</v>
      </c>
      <c r="AF846" s="11">
        <v>105.982</v>
      </c>
      <c r="AG846" s="11">
        <v>105.982</v>
      </c>
      <c r="AH846" s="11">
        <v>105.982</v>
      </c>
      <c r="AO846" s="11">
        <v>0</v>
      </c>
      <c r="AP846" s="11">
        <v>0</v>
      </c>
      <c r="AQ846" s="11">
        <v>0</v>
      </c>
      <c r="AR846" s="11">
        <v>0</v>
      </c>
      <c r="AS846" s="11">
        <v>0</v>
      </c>
      <c r="AT846" s="11">
        <v>0</v>
      </c>
      <c r="AU846" s="11">
        <v>5</v>
      </c>
      <c r="AV846" s="11">
        <v>105.982</v>
      </c>
    </row>
    <row r="847" spans="2:48" x14ac:dyDescent="0.2">
      <c r="B847" t="s">
        <v>202</v>
      </c>
      <c r="H847" s="11">
        <v>-121.176</v>
      </c>
      <c r="I847" s="11">
        <v>396.54</v>
      </c>
      <c r="J847" s="11">
        <v>986.80700000000002</v>
      </c>
      <c r="K847" s="11">
        <v>1035.7829999999999</v>
      </c>
      <c r="L847" s="11">
        <v>627.56600000000003</v>
      </c>
      <c r="M847" s="11">
        <v>1116.597</v>
      </c>
      <c r="N847" s="11">
        <v>1804.675</v>
      </c>
      <c r="O847" s="11">
        <v>1448.23</v>
      </c>
      <c r="P847" s="11">
        <v>1820.761</v>
      </c>
      <c r="Q847" s="11">
        <v>1794.7280000000001</v>
      </c>
      <c r="R847" s="11">
        <v>533.303</v>
      </c>
      <c r="S847" s="11">
        <v>-1047.7280000000001</v>
      </c>
      <c r="T847" s="11">
        <v>-531.69899999999996</v>
      </c>
      <c r="U847" s="11">
        <v>-1666.114</v>
      </c>
      <c r="V847" s="11">
        <v>-1414.0930000000001</v>
      </c>
      <c r="W847" s="11">
        <v>-2519.9</v>
      </c>
      <c r="X847" s="11">
        <v>-2651.317</v>
      </c>
      <c r="Y847" s="11">
        <v>864.02800000000002</v>
      </c>
      <c r="Z847" s="11">
        <v>4630.973</v>
      </c>
      <c r="AA847" s="11">
        <v>3322.2379999999998</v>
      </c>
      <c r="AB847" s="11">
        <v>2426.7530000000002</v>
      </c>
      <c r="AC847" s="11">
        <v>6254.9709999999995</v>
      </c>
      <c r="AD847" s="11">
        <v>5952.8389999999999</v>
      </c>
      <c r="AE847" s="11">
        <v>4723.76</v>
      </c>
      <c r="AF847" s="11">
        <v>5034.2349999999997</v>
      </c>
      <c r="AG847" s="11">
        <v>5799.8819999999996</v>
      </c>
      <c r="AH847" s="11">
        <v>2867.422</v>
      </c>
      <c r="AO847" s="11">
        <v>24.58</v>
      </c>
      <c r="AP847" s="11">
        <v>-23.100999999999999</v>
      </c>
      <c r="AQ847" s="11">
        <v>1035.7829999999999</v>
      </c>
      <c r="AR847" s="11">
        <v>1448.23</v>
      </c>
      <c r="AS847" s="11">
        <v>-1047.7280000000001</v>
      </c>
      <c r="AT847" s="11">
        <v>-2519.9</v>
      </c>
      <c r="AU847" s="11">
        <v>3322.2379999999998</v>
      </c>
      <c r="AV847" s="11">
        <v>4723.76</v>
      </c>
    </row>
    <row r="848" spans="2:48" ht="13.5" x14ac:dyDescent="0.35">
      <c r="B848" t="s">
        <v>203</v>
      </c>
      <c r="H848" s="13">
        <v>-1311.7539999999999</v>
      </c>
      <c r="I848" s="13">
        <v>-7805.6419999999998</v>
      </c>
      <c r="J848" s="13">
        <v>-8903.9650000000001</v>
      </c>
      <c r="K848" s="13">
        <v>-11327.858</v>
      </c>
      <c r="L848" s="13">
        <v>-13205.566000000001</v>
      </c>
      <c r="M848" s="13">
        <v>-14208.816000000001</v>
      </c>
      <c r="N848" s="13">
        <v>-16543.824000000001</v>
      </c>
      <c r="O848" s="13">
        <v>-18295.460999999999</v>
      </c>
      <c r="P848" s="13">
        <v>-22414.79</v>
      </c>
      <c r="Q848" s="13">
        <v>-23314.138999999999</v>
      </c>
      <c r="R848" s="13">
        <v>-24098.847000000002</v>
      </c>
      <c r="S848" s="13">
        <v>-25475.203000000001</v>
      </c>
      <c r="T848" s="13">
        <v>-28380.618999999999</v>
      </c>
      <c r="U848" s="13">
        <v>-25966.039000000001</v>
      </c>
      <c r="V848" s="13">
        <v>-24326.079000000002</v>
      </c>
      <c r="W848" s="13">
        <v>-17706.532999999999</v>
      </c>
      <c r="X848" s="13">
        <v>-13740.575999999999</v>
      </c>
      <c r="Y848" s="13">
        <v>-4844.2359999999999</v>
      </c>
      <c r="Z848" s="13">
        <v>5744.3379999999997</v>
      </c>
      <c r="AA848" s="13">
        <v>15193.035</v>
      </c>
      <c r="AB848" s="13">
        <v>23294.062000000002</v>
      </c>
      <c r="AC848" s="13">
        <v>36402.148000000001</v>
      </c>
      <c r="AD848" s="13">
        <v>51939.27</v>
      </c>
      <c r="AE848" s="13">
        <v>75118.596999999994</v>
      </c>
      <c r="AF848" s="13">
        <v>103116.423</v>
      </c>
      <c r="AG848" s="13">
        <v>135125.77799999999</v>
      </c>
      <c r="AH848" s="13">
        <v>160106.47200000001</v>
      </c>
      <c r="AO848" s="13">
        <v>-472.44499999999999</v>
      </c>
      <c r="AP848" s="13">
        <v>-1030.2370000000001</v>
      </c>
      <c r="AQ848" s="13">
        <v>-11327.858</v>
      </c>
      <c r="AR848" s="13">
        <v>-18295.460999999999</v>
      </c>
      <c r="AS848" s="13">
        <v>-25475.203000000001</v>
      </c>
      <c r="AT848" s="13">
        <v>-17706.532999999999</v>
      </c>
      <c r="AU848" s="13">
        <v>15193.035</v>
      </c>
      <c r="AV848" s="13">
        <v>75118.596999999994</v>
      </c>
    </row>
    <row r="849" spans="2:48" s="1" customFormat="1" x14ac:dyDescent="0.2">
      <c r="B849" s="38" t="s">
        <v>213</v>
      </c>
      <c r="H849" s="42">
        <f t="shared" ref="H849:AF849" si="3043">SUM(H844:H848)</f>
        <v>-1357.9399999999998</v>
      </c>
      <c r="I849" s="42">
        <f t="shared" si="3043"/>
        <v>-1560.1469999999999</v>
      </c>
      <c r="J849" s="42">
        <f t="shared" si="3043"/>
        <v>20760.602999999999</v>
      </c>
      <c r="K849" s="42">
        <f t="shared" si="3043"/>
        <v>18822.593999999997</v>
      </c>
      <c r="L849" s="42">
        <f t="shared" si="3043"/>
        <v>25029.129000000001</v>
      </c>
      <c r="M849" s="42">
        <f t="shared" si="3043"/>
        <v>25106.885000000002</v>
      </c>
      <c r="N849" s="42">
        <f t="shared" si="3043"/>
        <v>25956.276000000005</v>
      </c>
      <c r="O849" s="42">
        <f t="shared" si="3043"/>
        <v>24646.866000000005</v>
      </c>
      <c r="P849" s="42">
        <f t="shared" si="3043"/>
        <v>21709.440999999999</v>
      </c>
      <c r="Q849" s="42">
        <f t="shared" si="3043"/>
        <v>29493.860000000004</v>
      </c>
      <c r="R849" s="42">
        <f t="shared" si="3043"/>
        <v>28403.661999999997</v>
      </c>
      <c r="S849" s="42">
        <f t="shared" si="3043"/>
        <v>60175.887999999999</v>
      </c>
      <c r="T849" s="42">
        <f t="shared" si="3043"/>
        <v>62358.315999999999</v>
      </c>
      <c r="U849" s="42">
        <f t="shared" si="3043"/>
        <v>64897.906999999992</v>
      </c>
      <c r="V849" s="42">
        <f t="shared" si="3043"/>
        <v>68107.97</v>
      </c>
      <c r="W849" s="42">
        <f t="shared" si="3043"/>
        <v>75114.547000000006</v>
      </c>
      <c r="X849" s="42">
        <f t="shared" si="3043"/>
        <v>76652.976999999999</v>
      </c>
      <c r="Y849" s="42">
        <f t="shared" si="3043"/>
        <v>90909.209000000003</v>
      </c>
      <c r="Z849" s="42">
        <f t="shared" si="3043"/>
        <v>107129.871</v>
      </c>
      <c r="AA849" s="42">
        <f t="shared" si="3043"/>
        <v>117770.91099999999</v>
      </c>
      <c r="AB849" s="42">
        <f t="shared" si="3043"/>
        <v>126510.117</v>
      </c>
      <c r="AC849" s="42">
        <f t="shared" si="3043"/>
        <v>145344.07900000003</v>
      </c>
      <c r="AD849" s="42">
        <f t="shared" si="3043"/>
        <v>162050.01499999998</v>
      </c>
      <c r="AE849" s="42">
        <f t="shared" si="3043"/>
        <v>187241.60699999999</v>
      </c>
      <c r="AF849" s="42">
        <f t="shared" si="3043"/>
        <v>218705.96899999998</v>
      </c>
      <c r="AG849" s="42">
        <f t="shared" ref="AG849:AH849" si="3044">SUM(AG844:AG848)</f>
        <v>253978.21799999999</v>
      </c>
      <c r="AH849" s="42">
        <f t="shared" si="3044"/>
        <v>278504.92000000004</v>
      </c>
      <c r="AO849" s="42">
        <f t="shared" ref="AO849:AV849" si="3045">SUM(AO844:AO848)</f>
        <v>-426.27800000000002</v>
      </c>
      <c r="AP849" s="42">
        <f t="shared" si="3045"/>
        <v>-991.95800000000008</v>
      </c>
      <c r="AQ849" s="42">
        <f t="shared" si="3045"/>
        <v>18822.593999999997</v>
      </c>
      <c r="AR849" s="42">
        <f t="shared" si="3045"/>
        <v>24646.866000000005</v>
      </c>
      <c r="AS849" s="42">
        <f t="shared" si="3045"/>
        <v>60175.887999999999</v>
      </c>
      <c r="AT849" s="42">
        <f t="shared" si="3045"/>
        <v>75114.547000000006</v>
      </c>
      <c r="AU849" s="42">
        <f t="shared" si="3045"/>
        <v>117770.91099999999</v>
      </c>
      <c r="AV849" s="42">
        <f t="shared" si="3045"/>
        <v>187241.60699999999</v>
      </c>
    </row>
    <row r="850" spans="2:48" x14ac:dyDescent="0.2">
      <c r="B850" s="4"/>
    </row>
    <row r="851" spans="2:48" s="1" customFormat="1" x14ac:dyDescent="0.2">
      <c r="B851" s="1" t="s">
        <v>214</v>
      </c>
      <c r="H851" s="42">
        <f t="shared" ref="H851:AF851" si="3046">+H841+H849</f>
        <v>21346.009000000002</v>
      </c>
      <c r="I851" s="42">
        <f t="shared" si="3046"/>
        <v>23273.503999999997</v>
      </c>
      <c r="J851" s="42">
        <f t="shared" si="3046"/>
        <v>37003.857000000004</v>
      </c>
      <c r="K851" s="42">
        <f t="shared" si="3046"/>
        <v>43182.063000000002</v>
      </c>
      <c r="L851" s="42">
        <f t="shared" si="3046"/>
        <v>49783.764999999999</v>
      </c>
      <c r="M851" s="42">
        <f t="shared" si="3046"/>
        <v>54360.850000000006</v>
      </c>
      <c r="N851" s="42">
        <f t="shared" si="3046"/>
        <v>64576.062000000005</v>
      </c>
      <c r="O851" s="42">
        <f t="shared" si="3046"/>
        <v>76057.33600000001</v>
      </c>
      <c r="P851" s="42">
        <f t="shared" si="3046"/>
        <v>76176.886999999988</v>
      </c>
      <c r="Q851" s="42">
        <f t="shared" si="3046"/>
        <v>90900.665999999997</v>
      </c>
      <c r="R851" s="42">
        <f t="shared" si="3046"/>
        <v>99410.925999999992</v>
      </c>
      <c r="S851" s="42">
        <f t="shared" si="3046"/>
        <v>158908.614</v>
      </c>
      <c r="T851" s="42">
        <f t="shared" si="3046"/>
        <v>153419.85199999998</v>
      </c>
      <c r="U851" s="42">
        <f t="shared" si="3046"/>
        <v>156739.75599999999</v>
      </c>
      <c r="V851" s="42">
        <f t="shared" si="3046"/>
        <v>166528.75900000002</v>
      </c>
      <c r="W851" s="42">
        <f t="shared" si="3046"/>
        <v>181209.71799999999</v>
      </c>
      <c r="X851" s="42">
        <f t="shared" si="3046"/>
        <v>168718.62099999998</v>
      </c>
      <c r="Y851" s="42">
        <f t="shared" si="3046"/>
        <v>191999.405</v>
      </c>
      <c r="Z851" s="42">
        <f t="shared" si="3046"/>
        <v>209107.984</v>
      </c>
      <c r="AA851" s="42">
        <f t="shared" si="3046"/>
        <v>237119.95299999998</v>
      </c>
      <c r="AB851" s="42">
        <f t="shared" si="3046"/>
        <v>240066.25</v>
      </c>
      <c r="AC851" s="42">
        <f t="shared" si="3046"/>
        <v>274285.35700000002</v>
      </c>
      <c r="AD851" s="42">
        <f t="shared" si="3046"/>
        <v>314251.13199999998</v>
      </c>
      <c r="AE851" s="42">
        <f t="shared" si="3046"/>
        <v>348078.12</v>
      </c>
      <c r="AF851" s="42">
        <f t="shared" si="3046"/>
        <v>377826.12699999998</v>
      </c>
      <c r="AG851" s="42">
        <f t="shared" ref="AG851:AH851" si="3047">+AG841+AG849</f>
        <v>432744.34199999995</v>
      </c>
      <c r="AH851" s="42">
        <f t="shared" si="3047"/>
        <v>466793.86900000006</v>
      </c>
      <c r="AO851" s="42">
        <f t="shared" ref="AO851:AV851" si="3048">+AO841+AO849</f>
        <v>1770.7510000000004</v>
      </c>
      <c r="AP851" s="42">
        <f t="shared" si="3048"/>
        <v>13314.470000000001</v>
      </c>
      <c r="AQ851" s="42">
        <f t="shared" si="3048"/>
        <v>43182.063000000002</v>
      </c>
      <c r="AR851" s="42">
        <f t="shared" si="3048"/>
        <v>76057.33600000001</v>
      </c>
      <c r="AS851" s="42">
        <f t="shared" si="3048"/>
        <v>158908.614</v>
      </c>
      <c r="AT851" s="42">
        <f t="shared" si="3048"/>
        <v>181209.71799999999</v>
      </c>
      <c r="AU851" s="42">
        <f t="shared" si="3048"/>
        <v>237119.95299999998</v>
      </c>
      <c r="AV851" s="42">
        <f t="shared" si="3048"/>
        <v>348078.12</v>
      </c>
    </row>
  </sheetData>
  <phoneticPr fontId="4" type="noConversion"/>
  <pageMargins left="0.3" right="0.3" top="0.3" bottom="0.3" header="0.3" footer="0.3"/>
  <pageSetup scale="38" fitToHeight="9" orientation="landscape" horizontalDpi="1200" verticalDpi="1200" r:id="rId1"/>
  <headerFooter>
    <oddFooter>Page &amp;P of &amp;N</oddFooter>
  </headerFooter>
  <rowBreaks count="9" manualBreakCount="9">
    <brk id="123" min="1" max="49" man="1"/>
    <brk id="219" min="1" max="49" man="1"/>
    <brk id="272" min="1" max="49" man="1"/>
    <brk id="378" min="1" max="49" man="1"/>
    <brk id="495" min="1" max="49" man="1"/>
    <brk id="553" min="1" max="49" man="1"/>
    <brk id="645" min="1" max="49" man="1"/>
    <brk id="719" min="1" max="49" man="1"/>
    <brk id="794" min="1" max="49" man="1"/>
  </rowBreak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8A871-7098-428C-B5B5-DE7303552FEA}">
  <dimension ref="A1:P59"/>
  <sheetViews>
    <sheetView showGridLines="0" view="pageBreakPreview" topLeftCell="A7" zoomScale="115" zoomScaleNormal="85" zoomScaleSheetLayoutView="115" workbookViewId="0">
      <selection activeCell="P2" sqref="P2"/>
    </sheetView>
  </sheetViews>
  <sheetFormatPr defaultRowHeight="11.25" outlineLevelCol="1" x14ac:dyDescent="0.2"/>
  <cols>
    <col min="1" max="1" width="2.6640625" customWidth="1"/>
    <col min="2" max="2" width="30.6640625" customWidth="1"/>
    <col min="3" max="3" width="2.6640625" customWidth="1"/>
    <col min="4" max="7" width="8.6640625" hidden="1" customWidth="1" outlineLevel="1"/>
    <col min="8" max="8" width="8.6640625" customWidth="1" collapsed="1"/>
    <col min="9" max="11" width="8.6640625" customWidth="1"/>
    <col min="12" max="12" width="2.6640625" customWidth="1"/>
    <col min="13" max="15" width="8.6640625" customWidth="1"/>
    <col min="16" max="16" width="10.6640625" customWidth="1"/>
  </cols>
  <sheetData>
    <row r="1" spans="2:16" ht="10.15" x14ac:dyDescent="0.2">
      <c r="I1" t="s">
        <v>242</v>
      </c>
      <c r="J1" t="s">
        <v>243</v>
      </c>
      <c r="K1" t="s">
        <v>244</v>
      </c>
      <c r="O1" t="s">
        <v>453</v>
      </c>
      <c r="P1" s="59">
        <v>45719</v>
      </c>
    </row>
    <row r="2" spans="2:16" s="1" customFormat="1" ht="10.15" x14ac:dyDescent="0.2">
      <c r="B2" s="1" t="s">
        <v>0</v>
      </c>
      <c r="O2" s="59">
        <f ca="1">+TODAY()</f>
        <v>45796</v>
      </c>
    </row>
    <row r="3" spans="2:16" s="2" customFormat="1" ht="10.15" x14ac:dyDescent="0.2">
      <c r="B3" s="2" t="s">
        <v>454</v>
      </c>
    </row>
    <row r="4" spans="2:16" s="1" customFormat="1" ht="10.15" x14ac:dyDescent="0.2">
      <c r="B4" s="3" t="s">
        <v>108</v>
      </c>
    </row>
    <row r="5" spans="2:16" s="1" customFormat="1" ht="10.15" x14ac:dyDescent="0.2"/>
    <row r="6" spans="2:16" s="1" customFormat="1" ht="10.15" x14ac:dyDescent="0.2">
      <c r="D6" s="8" t="s">
        <v>59</v>
      </c>
      <c r="E6" s="8"/>
      <c r="F6" s="8"/>
      <c r="G6" s="8"/>
      <c r="H6" s="8" t="s">
        <v>59</v>
      </c>
      <c r="I6" s="8"/>
      <c r="J6" s="8"/>
      <c r="K6" s="8"/>
      <c r="M6" s="8" t="s">
        <v>58</v>
      </c>
      <c r="N6" s="8"/>
      <c r="O6" s="8"/>
    </row>
    <row r="7" spans="2:16" ht="12" x14ac:dyDescent="0.35">
      <c r="D7" s="7" t="s">
        <v>46</v>
      </c>
      <c r="E7" s="7" t="s">
        <v>47</v>
      </c>
      <c r="F7" s="7" t="s">
        <v>48</v>
      </c>
      <c r="G7" s="7" t="s">
        <v>240</v>
      </c>
      <c r="H7" s="7" t="s">
        <v>241</v>
      </c>
      <c r="I7" s="7" t="s">
        <v>242</v>
      </c>
      <c r="J7" s="7" t="s">
        <v>243</v>
      </c>
      <c r="K7" s="7" t="s">
        <v>49</v>
      </c>
      <c r="L7" s="7"/>
      <c r="M7" s="7" t="s">
        <v>259</v>
      </c>
      <c r="N7" s="7" t="s">
        <v>57</v>
      </c>
      <c r="O7" s="7" t="s">
        <v>267</v>
      </c>
      <c r="P7" s="7"/>
    </row>
    <row r="9" spans="2:16" ht="10.15" x14ac:dyDescent="0.2">
      <c r="B9" s="6" t="s">
        <v>450</v>
      </c>
      <c r="C9" s="5"/>
    </row>
    <row r="10" spans="2:16" ht="10.15" x14ac:dyDescent="0.2">
      <c r="N10" s="10"/>
    </row>
    <row r="11" spans="2:16" x14ac:dyDescent="0.2">
      <c r="B11" t="s">
        <v>225</v>
      </c>
      <c r="D11" s="160">
        <f>+'Historical Financials'!AB12</f>
        <v>27244.425999999999</v>
      </c>
      <c r="E11" s="160">
        <f>+'Historical Financials'!AC12</f>
        <v>37932.830999999998</v>
      </c>
      <c r="F11" s="160">
        <f>+'Historical Financials'!AD12</f>
        <v>39687.678</v>
      </c>
      <c r="G11" s="160">
        <f>+'Historical Financials'!AE12</f>
        <v>48675.618000000002</v>
      </c>
      <c r="H11" s="160">
        <f>+'Historical Financials'!AF12</f>
        <v>42456.243000000002</v>
      </c>
      <c r="I11" s="160">
        <f>+'Historical Financials'!AG12</f>
        <v>49115.866000000002</v>
      </c>
      <c r="J11" s="160">
        <f>+'Historical Financials'!AH12</f>
        <v>49351.021999999997</v>
      </c>
      <c r="K11" s="160">
        <f>+'Historical Financials'!AI12</f>
        <v>56453.027685972425</v>
      </c>
      <c r="L11" s="160"/>
      <c r="M11" s="160">
        <f>+'Historical Financials'!AV12</f>
        <v>153540.55300000001</v>
      </c>
      <c r="N11" s="160">
        <f>+'Historical Financials'!AW12</f>
        <v>197376.15868597242</v>
      </c>
      <c r="O11" s="160">
        <f>+'Historical Financials'!AX12</f>
        <v>223116.85724723112</v>
      </c>
      <c r="P11" s="160"/>
    </row>
    <row r="12" spans="2:16" ht="13.5" x14ac:dyDescent="0.35">
      <c r="B12" t="s">
        <v>461</v>
      </c>
      <c r="D12" s="161">
        <f>+'Historical Financials'!AB13</f>
        <v>10392.624</v>
      </c>
      <c r="E12" s="161">
        <f>+'Historical Financials'!AC13</f>
        <v>14347.916999999999</v>
      </c>
      <c r="F12" s="161">
        <f>+'Historical Financials'!AD13</f>
        <v>29152.692999999999</v>
      </c>
      <c r="G12" s="161">
        <f>+'Historical Financials'!AE13</f>
        <v>40205.417999999998</v>
      </c>
      <c r="H12" s="161">
        <f>+'Historical Financials'!AF13</f>
        <v>44355.815999999999</v>
      </c>
      <c r="I12" s="161">
        <f>+'Historical Financials'!AG13</f>
        <v>47943.665000000001</v>
      </c>
      <c r="J12" s="161">
        <f>+'Historical Financials'!AH13</f>
        <v>50003.379000000001</v>
      </c>
      <c r="K12" s="161">
        <f>+'Historical Financials'!AI13</f>
        <v>53417.272639007722</v>
      </c>
      <c r="L12" s="161"/>
      <c r="M12" s="161">
        <f>+'Historical Financials'!AV13</f>
        <v>94098.652000000002</v>
      </c>
      <c r="N12" s="161">
        <f>+'Historical Financials'!AW13</f>
        <v>195720.1326390077</v>
      </c>
      <c r="O12" s="161">
        <f>+'Historical Financials'!AX13</f>
        <v>235390.20266659258</v>
      </c>
      <c r="P12" s="161"/>
    </row>
    <row r="13" spans="2:16" ht="10.15" x14ac:dyDescent="0.2">
      <c r="B13" s="4" t="s">
        <v>223</v>
      </c>
      <c r="D13" s="14">
        <f>SUM(D11:D12)</f>
        <v>37637.050000000003</v>
      </c>
      <c r="E13" s="14">
        <f>SUM(E11:E12)</f>
        <v>52280.748</v>
      </c>
      <c r="F13" s="14">
        <f t="shared" ref="F13:H13" si="0">SUM(F11:F12)</f>
        <v>68840.370999999999</v>
      </c>
      <c r="G13" s="14">
        <f t="shared" si="0"/>
        <v>88881.035999999993</v>
      </c>
      <c r="H13" s="14">
        <f t="shared" si="0"/>
        <v>86812.059000000008</v>
      </c>
      <c r="I13" s="14">
        <f>SUM(I11:I12)</f>
        <v>97059.531000000003</v>
      </c>
      <c r="J13" s="14">
        <f t="shared" ref="J13:O13" si="1">SUM(J11:J12)</f>
        <v>99354.400999999998</v>
      </c>
      <c r="K13" s="14">
        <f t="shared" si="1"/>
        <v>109870.30032498014</v>
      </c>
      <c r="L13" s="14"/>
      <c r="M13" s="14">
        <f t="shared" si="1"/>
        <v>247639.20500000002</v>
      </c>
      <c r="N13" s="14">
        <f t="shared" si="1"/>
        <v>393096.29132498009</v>
      </c>
      <c r="O13" s="14">
        <f t="shared" si="1"/>
        <v>458507.05991382373</v>
      </c>
      <c r="P13" s="14"/>
    </row>
    <row r="14" spans="2:16" ht="12" x14ac:dyDescent="0.35">
      <c r="B14" t="s">
        <v>222</v>
      </c>
      <c r="D14" s="161">
        <f>+'Historical Financials'!AB15</f>
        <v>0</v>
      </c>
      <c r="E14" s="161">
        <f>+'Historical Financials'!AC15</f>
        <v>0</v>
      </c>
      <c r="F14" s="161">
        <f>+'Historical Financials'!AD15</f>
        <v>0</v>
      </c>
      <c r="G14" s="161">
        <f>+'Historical Financials'!AE15</f>
        <v>0</v>
      </c>
      <c r="H14" s="161">
        <f>+'Historical Financials'!AF15</f>
        <v>0</v>
      </c>
      <c r="I14" s="161">
        <f>+'Historical Financials'!AG15</f>
        <v>0</v>
      </c>
      <c r="J14" s="161">
        <f>+'Historical Financials'!AH15</f>
        <v>0</v>
      </c>
      <c r="K14" s="161">
        <f>+'Historical Financials'!AI15</f>
        <v>0</v>
      </c>
      <c r="L14" s="161"/>
      <c r="M14" s="161">
        <f>+'Historical Financials'!AV15</f>
        <v>0</v>
      </c>
      <c r="N14" s="161">
        <f>+'Historical Financials'!AW15</f>
        <v>0</v>
      </c>
      <c r="O14" s="161">
        <f>+'Historical Financials'!AX15</f>
        <v>0</v>
      </c>
      <c r="P14" s="161"/>
    </row>
    <row r="15" spans="2:16" x14ac:dyDescent="0.2">
      <c r="B15" s="4" t="s">
        <v>224</v>
      </c>
      <c r="D15" s="14">
        <f>+SUM(D13:D14)</f>
        <v>37637.050000000003</v>
      </c>
      <c r="E15" s="14">
        <f>+SUM(E13:E14)</f>
        <v>52280.748</v>
      </c>
      <c r="F15" s="14">
        <f t="shared" ref="F15:H15" si="2">+SUM(F13:F14)</f>
        <v>68840.370999999999</v>
      </c>
      <c r="G15" s="14">
        <f t="shared" si="2"/>
        <v>88881.035999999993</v>
      </c>
      <c r="H15" s="14">
        <f t="shared" si="2"/>
        <v>86812.059000000008</v>
      </c>
      <c r="I15" s="14">
        <f>+SUM(I13:I14)</f>
        <v>97059.531000000003</v>
      </c>
      <c r="J15" s="14">
        <f t="shared" ref="J15:N15" si="3">+SUM(J13:J14)</f>
        <v>99354.400999999998</v>
      </c>
      <c r="K15" s="14">
        <f t="shared" si="3"/>
        <v>109870.30032498014</v>
      </c>
      <c r="L15" s="14"/>
      <c r="M15" s="14">
        <f t="shared" si="3"/>
        <v>247639.20500000002</v>
      </c>
      <c r="N15" s="14">
        <f t="shared" si="3"/>
        <v>393096.29132498009</v>
      </c>
      <c r="O15" s="14">
        <f t="shared" ref="O15" si="4">+SUM(O13:O14)</f>
        <v>458507.05991382373</v>
      </c>
      <c r="P15" s="14"/>
    </row>
    <row r="16" spans="2:16" ht="10.15" x14ac:dyDescent="0.2">
      <c r="B16" s="4"/>
    </row>
    <row r="17" spans="1:16" ht="10.15" x14ac:dyDescent="0.2">
      <c r="B17" s="19" t="s">
        <v>85</v>
      </c>
    </row>
    <row r="18" spans="1:16" ht="10.15" x14ac:dyDescent="0.2">
      <c r="B18" s="20" t="s">
        <v>225</v>
      </c>
      <c r="H18" s="28">
        <f>+IFERROR(H11/D11-1,"n/a")</f>
        <v>0.55834602644959386</v>
      </c>
      <c r="I18" s="28">
        <f>+IFERROR(I11/E11-1,"n/a")</f>
        <v>0.29481150510490517</v>
      </c>
      <c r="J18" s="28">
        <f t="shared" ref="J18:K22" si="5">+IFERROR(J11/F11-1,"n/a")</f>
        <v>0.24348474103221651</v>
      </c>
      <c r="K18" s="28">
        <f t="shared" si="5"/>
        <v>0.15978039941829647</v>
      </c>
      <c r="L18" s="28"/>
      <c r="M18" s="28"/>
      <c r="N18" s="28">
        <f t="shared" ref="N18:O22" si="6">+IFERROR(N11/M11-1,"n/a")</f>
        <v>0.28549855285445269</v>
      </c>
      <c r="O18" s="46">
        <f t="shared" si="6"/>
        <v>0.13041442660869906</v>
      </c>
      <c r="P18" s="28"/>
    </row>
    <row r="19" spans="1:16" ht="12" x14ac:dyDescent="0.35">
      <c r="B19" s="20" t="s">
        <v>226</v>
      </c>
      <c r="H19" s="31">
        <f t="shared" ref="H19:I22" si="7">+IFERROR(H12/D12-1,"n/a")</f>
        <v>3.2680093112191875</v>
      </c>
      <c r="I19" s="31">
        <f t="shared" si="7"/>
        <v>2.3415069936632618</v>
      </c>
      <c r="J19" s="31">
        <f t="shared" si="5"/>
        <v>0.71522332430832392</v>
      </c>
      <c r="K19" s="31">
        <f t="shared" si="5"/>
        <v>0.32860881185236579</v>
      </c>
      <c r="L19" s="31"/>
      <c r="M19" s="31"/>
      <c r="N19" s="31">
        <f t="shared" si="6"/>
        <v>1.0799461892292324</v>
      </c>
      <c r="O19" s="47">
        <f t="shared" si="6"/>
        <v>0.20268773320705646</v>
      </c>
      <c r="P19" s="31"/>
    </row>
    <row r="20" spans="1:16" ht="10.15" x14ac:dyDescent="0.2">
      <c r="B20" s="30" t="s">
        <v>223</v>
      </c>
      <c r="H20" s="28">
        <f t="shared" si="7"/>
        <v>1.3065585373986539</v>
      </c>
      <c r="I20" s="28">
        <f t="shared" si="7"/>
        <v>0.85650616552004966</v>
      </c>
      <c r="J20" s="28">
        <f t="shared" si="5"/>
        <v>0.44325777965374424</v>
      </c>
      <c r="K20" s="28">
        <f t="shared" si="5"/>
        <v>0.23615008633540402</v>
      </c>
      <c r="L20" s="28"/>
      <c r="M20" s="28"/>
      <c r="N20" s="28">
        <f t="shared" si="6"/>
        <v>0.58737503346846909</v>
      </c>
      <c r="O20" s="46">
        <f t="shared" si="6"/>
        <v>0.16639884433498087</v>
      </c>
      <c r="P20" s="28"/>
    </row>
    <row r="21" spans="1:16" ht="12" x14ac:dyDescent="0.35">
      <c r="B21" s="20" t="s">
        <v>222</v>
      </c>
      <c r="H21" s="47" t="str">
        <f t="shared" si="7"/>
        <v>n/a</v>
      </c>
      <c r="I21" s="47" t="str">
        <f t="shared" si="7"/>
        <v>n/a</v>
      </c>
      <c r="J21" s="47" t="str">
        <f t="shared" si="5"/>
        <v>n/a</v>
      </c>
      <c r="K21" s="47" t="str">
        <f t="shared" si="5"/>
        <v>n/a</v>
      </c>
      <c r="L21" s="47"/>
      <c r="M21" s="47"/>
      <c r="N21" s="47" t="str">
        <f t="shared" si="6"/>
        <v>n/a</v>
      </c>
      <c r="O21" s="47" t="str">
        <f t="shared" si="6"/>
        <v>n/a</v>
      </c>
      <c r="P21" s="47"/>
    </row>
    <row r="22" spans="1:16" ht="10.15" x14ac:dyDescent="0.2">
      <c r="B22" s="30" t="s">
        <v>224</v>
      </c>
      <c r="H22" s="28">
        <f t="shared" si="7"/>
        <v>1.3065585373986539</v>
      </c>
      <c r="I22" s="28">
        <f t="shared" si="7"/>
        <v>0.85650616552004966</v>
      </c>
      <c r="J22" s="28">
        <f t="shared" si="5"/>
        <v>0.44325777965374424</v>
      </c>
      <c r="K22" s="28">
        <f t="shared" si="5"/>
        <v>0.23615008633540402</v>
      </c>
      <c r="L22" s="28"/>
      <c r="M22" s="28"/>
      <c r="N22" s="28">
        <f t="shared" si="6"/>
        <v>0.58737503346846909</v>
      </c>
      <c r="O22" s="46">
        <f t="shared" si="6"/>
        <v>0.16639884433498087</v>
      </c>
      <c r="P22" s="28"/>
    </row>
    <row r="23" spans="1:16" ht="10.15" x14ac:dyDescent="0.2">
      <c r="B23" s="4"/>
    </row>
    <row r="24" spans="1:16" ht="10.15" x14ac:dyDescent="0.2">
      <c r="B24" t="s">
        <v>93</v>
      </c>
      <c r="D24" s="160">
        <f>+'Historical Financials'!AB61</f>
        <v>8462.4200000000019</v>
      </c>
      <c r="E24" s="160">
        <f>+'Historical Financials'!AC61</f>
        <v>14609.383999999995</v>
      </c>
      <c r="F24" s="160">
        <f>+'Historical Financials'!AD61</f>
        <v>18125.839999999997</v>
      </c>
      <c r="G24" s="160">
        <f>+'Historical Financials'!AE61</f>
        <v>24579.911999999997</v>
      </c>
      <c r="H24" s="160">
        <f>+'Historical Financials'!AF61</f>
        <v>28552.195000000011</v>
      </c>
      <c r="I24" s="160">
        <f>+'Historical Financials'!AG61</f>
        <v>34987.298000000003</v>
      </c>
      <c r="J24" s="160">
        <f>+'Historical Financials'!AH61</f>
        <v>26770.462999999996</v>
      </c>
      <c r="K24" s="160">
        <f>+'Historical Financials'!AI61</f>
        <v>24721.92374780323</v>
      </c>
      <c r="L24" s="160"/>
      <c r="M24" s="160">
        <f>+'Historical Financials'!AV61</f>
        <v>65777.555999999997</v>
      </c>
      <c r="N24" s="160">
        <f>+'Historical Financials'!AW61</f>
        <v>115031.87974780324</v>
      </c>
      <c r="O24" s="160">
        <f>+'Historical Financials'!AX61</f>
        <v>104001.51800314685</v>
      </c>
      <c r="P24" s="275"/>
    </row>
    <row r="25" spans="1:16" ht="10.15" x14ac:dyDescent="0.2">
      <c r="B25" s="20" t="s">
        <v>85</v>
      </c>
      <c r="I25" s="28">
        <f>+IFERROR(I24/E24-1,"n/a")</f>
        <v>1.3948510080917864</v>
      </c>
      <c r="J25" s="28">
        <f t="shared" ref="J25:K25" si="8">+IFERROR(J24/F24-1,"n/a")</f>
        <v>0.47692261434504557</v>
      </c>
      <c r="K25" s="28">
        <f t="shared" si="8"/>
        <v>5.7775531419004267E-3</v>
      </c>
      <c r="L25" s="28"/>
      <c r="M25" s="28"/>
      <c r="N25" s="28">
        <f>+IFERROR(N24/M24-1,"n/a")</f>
        <v>0.74880136543539622</v>
      </c>
      <c r="O25" s="28">
        <f>+IFERROR(O24/N24-1,"n/a")</f>
        <v>-9.5889607027542567E-2</v>
      </c>
      <c r="P25" s="28"/>
    </row>
    <row r="26" spans="1:16" ht="10.15" x14ac:dyDescent="0.2">
      <c r="B26" s="20" t="s">
        <v>87</v>
      </c>
      <c r="D26" s="29">
        <f>+D24/D15</f>
        <v>0.22484280781835986</v>
      </c>
      <c r="E26" s="29">
        <f>+E24/E15</f>
        <v>0.27944099040051978</v>
      </c>
      <c r="F26" s="29">
        <f t="shared" ref="F26:G26" si="9">+F24/F15</f>
        <v>0.26330247406714291</v>
      </c>
      <c r="G26" s="29">
        <f t="shared" si="9"/>
        <v>0.27654844167207948</v>
      </c>
      <c r="H26" s="29">
        <f t="shared" ref="H26" si="10">+H24/H15</f>
        <v>0.32889664556856102</v>
      </c>
      <c r="I26" s="29">
        <f>+I24/I15</f>
        <v>0.36047256399786232</v>
      </c>
      <c r="J26" s="29">
        <f t="shared" ref="J26:K26" si="11">+J24/J15</f>
        <v>0.26944415879473721</v>
      </c>
      <c r="K26" s="29">
        <f t="shared" si="11"/>
        <v>0.22501006800454196</v>
      </c>
      <c r="L26" s="29"/>
      <c r="M26" s="29">
        <f t="shared" ref="M26" si="12">+M24/M15</f>
        <v>0.26561850737648746</v>
      </c>
      <c r="N26" s="29">
        <f t="shared" ref="N26:O26" si="13">+N24/N15</f>
        <v>0.2926302849616666</v>
      </c>
      <c r="O26" s="29">
        <f t="shared" si="13"/>
        <v>0.22682642666983993</v>
      </c>
      <c r="P26" s="29"/>
    </row>
    <row r="28" spans="1:16" ht="10.15" x14ac:dyDescent="0.2">
      <c r="B28" s="6" t="s">
        <v>451</v>
      </c>
      <c r="C28" s="5"/>
    </row>
    <row r="30" spans="1:16" ht="10.15" x14ac:dyDescent="0.2">
      <c r="A30" t="s">
        <v>245</v>
      </c>
      <c r="B30" t="s">
        <v>225</v>
      </c>
      <c r="D30" s="14">
        <f>+D11</f>
        <v>27244.425999999999</v>
      </c>
      <c r="E30" s="14">
        <f t="shared" ref="E30:H30" si="14">+E11</f>
        <v>37932.830999999998</v>
      </c>
      <c r="F30" s="14">
        <f t="shared" si="14"/>
        <v>39687.678</v>
      </c>
      <c r="G30" s="14">
        <f t="shared" si="14"/>
        <v>48675.618000000002</v>
      </c>
      <c r="H30" s="14">
        <f t="shared" si="14"/>
        <v>42456.243000000002</v>
      </c>
      <c r="I30" s="14">
        <f t="shared" ref="I30:J30" si="15">+I11</f>
        <v>49115.866000000002</v>
      </c>
      <c r="J30" s="14">
        <f t="shared" si="15"/>
        <v>49351.021999999997</v>
      </c>
      <c r="K30" s="212">
        <f>_xll.VAData("PDD_US",K$1,$A30,"consensus.vaactuals","CD","IMPL",$P$1)</f>
        <v>57131.798232718837</v>
      </c>
      <c r="M30" s="14">
        <f>+M11</f>
        <v>153540.55300000001</v>
      </c>
      <c r="N30" s="14">
        <f>+SUM(H30:K30)</f>
        <v>198054.92923271883</v>
      </c>
      <c r="O30" s="212">
        <f>_xll.VAData("PDD_US",O$1,$A30,"consensus.vaactuals","CD","IMPL",$P$1)</f>
        <v>226933.82395117183</v>
      </c>
    </row>
    <row r="31" spans="1:16" ht="12" x14ac:dyDescent="0.35">
      <c r="A31" t="s">
        <v>246</v>
      </c>
      <c r="B31" t="s">
        <v>226</v>
      </c>
      <c r="D31" s="15">
        <f t="shared" ref="D31:H31" si="16">+D12</f>
        <v>10392.624</v>
      </c>
      <c r="E31" s="15">
        <f t="shared" si="16"/>
        <v>14347.916999999999</v>
      </c>
      <c r="F31" s="15">
        <f t="shared" si="16"/>
        <v>29152.692999999999</v>
      </c>
      <c r="G31" s="15">
        <f t="shared" si="16"/>
        <v>40205.417999999998</v>
      </c>
      <c r="H31" s="15">
        <f t="shared" si="16"/>
        <v>44355.815999999999</v>
      </c>
      <c r="I31" s="15">
        <f t="shared" ref="I31:J31" si="17">+I12</f>
        <v>47943.665000000001</v>
      </c>
      <c r="J31" s="15">
        <f t="shared" si="17"/>
        <v>50003.379000000001</v>
      </c>
      <c r="K31" s="15">
        <f t="shared" ref="K31" si="18">+K32-K30</f>
        <v>60703.129022898982</v>
      </c>
      <c r="M31" s="15">
        <f t="shared" ref="M31" si="19">+M12</f>
        <v>94098.652000000002</v>
      </c>
      <c r="N31" s="15">
        <f t="shared" ref="N31:N34" si="20">+SUM(H31:K31)</f>
        <v>203005.98902289895</v>
      </c>
      <c r="O31" s="15">
        <f t="shared" ref="O31" si="21">+O32-O30</f>
        <v>272505.35649816756</v>
      </c>
    </row>
    <row r="32" spans="1:16" ht="10.15" x14ac:dyDescent="0.2">
      <c r="B32" s="4" t="s">
        <v>223</v>
      </c>
      <c r="D32" s="14">
        <f t="shared" ref="D32:H32" si="22">+D13</f>
        <v>37637.050000000003</v>
      </c>
      <c r="E32" s="14">
        <f t="shared" si="22"/>
        <v>52280.748</v>
      </c>
      <c r="F32" s="14">
        <f t="shared" si="22"/>
        <v>68840.370999999999</v>
      </c>
      <c r="G32" s="14">
        <f t="shared" si="22"/>
        <v>88881.035999999993</v>
      </c>
      <c r="H32" s="14">
        <f t="shared" si="22"/>
        <v>86812.059000000008</v>
      </c>
      <c r="I32" s="14">
        <f t="shared" ref="I32:J32" si="23">+I13</f>
        <v>97059.531000000003</v>
      </c>
      <c r="J32" s="14">
        <f t="shared" si="23"/>
        <v>99354.400999999998</v>
      </c>
      <c r="K32" s="14">
        <f t="shared" ref="K32" si="24">+K34-K33</f>
        <v>117834.92725561782</v>
      </c>
      <c r="M32" s="14">
        <f t="shared" ref="M32" si="25">+M13</f>
        <v>247639.20500000002</v>
      </c>
      <c r="N32" s="14">
        <f t="shared" si="20"/>
        <v>401060.91825561784</v>
      </c>
      <c r="O32" s="14">
        <f t="shared" ref="O32" si="26">+O34-O33</f>
        <v>499439.18044933939</v>
      </c>
    </row>
    <row r="33" spans="1:15" ht="12" x14ac:dyDescent="0.35">
      <c r="B33" t="s">
        <v>222</v>
      </c>
      <c r="D33" s="15">
        <f t="shared" ref="D33:H33" si="27">+D14</f>
        <v>0</v>
      </c>
      <c r="E33" s="15">
        <f t="shared" si="27"/>
        <v>0</v>
      </c>
      <c r="F33" s="15">
        <f t="shared" si="27"/>
        <v>0</v>
      </c>
      <c r="G33" s="15">
        <f t="shared" si="27"/>
        <v>0</v>
      </c>
      <c r="H33" s="15">
        <f t="shared" si="27"/>
        <v>0</v>
      </c>
      <c r="I33" s="15">
        <f t="shared" ref="I33:J33" si="28">+I14</f>
        <v>0</v>
      </c>
      <c r="J33" s="15">
        <f t="shared" si="28"/>
        <v>0</v>
      </c>
      <c r="K33" s="13">
        <v>0</v>
      </c>
      <c r="M33" s="15">
        <f t="shared" ref="M33" si="29">+M14</f>
        <v>0</v>
      </c>
      <c r="N33" s="15">
        <f t="shared" si="20"/>
        <v>0</v>
      </c>
      <c r="O33" s="13">
        <v>0</v>
      </c>
    </row>
    <row r="34" spans="1:15" ht="10.15" x14ac:dyDescent="0.2">
      <c r="A34" s="1" t="s">
        <v>72</v>
      </c>
      <c r="B34" s="4" t="s">
        <v>224</v>
      </c>
      <c r="D34" s="14">
        <f t="shared" ref="D34:H34" si="30">+D15</f>
        <v>37637.050000000003</v>
      </c>
      <c r="E34" s="14">
        <f t="shared" si="30"/>
        <v>52280.748</v>
      </c>
      <c r="F34" s="14">
        <f t="shared" si="30"/>
        <v>68840.370999999999</v>
      </c>
      <c r="G34" s="14">
        <f t="shared" si="30"/>
        <v>88881.035999999993</v>
      </c>
      <c r="H34" s="14">
        <f t="shared" si="30"/>
        <v>86812.059000000008</v>
      </c>
      <c r="I34" s="14">
        <f t="shared" ref="I34:J34" si="31">+I15</f>
        <v>97059.531000000003</v>
      </c>
      <c r="J34" s="14">
        <f t="shared" si="31"/>
        <v>99354.400999999998</v>
      </c>
      <c r="K34" s="212">
        <f>_xll.VAData("PDD_US",K$1,$A34,"consensus.vaactuals","CD","IMPL",$P$1)</f>
        <v>117834.92725561782</v>
      </c>
      <c r="M34" s="14">
        <f t="shared" ref="M34" si="32">+M15</f>
        <v>247639.20500000002</v>
      </c>
      <c r="N34" s="14">
        <f t="shared" si="20"/>
        <v>401060.91825561784</v>
      </c>
      <c r="O34" s="212">
        <f>_xll.VAData("PDD_US",O$1,$A34,"consensus.vaactuals","CD","IMPL",$P$1)</f>
        <v>499439.18044933939</v>
      </c>
    </row>
    <row r="35" spans="1:15" ht="10.15" x14ac:dyDescent="0.2">
      <c r="B35" s="4"/>
      <c r="D35" s="215"/>
      <c r="E35" s="215"/>
      <c r="F35" s="215"/>
      <c r="G35" s="215"/>
      <c r="H35" s="215"/>
      <c r="M35" s="215"/>
    </row>
    <row r="36" spans="1:15" ht="10.15" x14ac:dyDescent="0.2">
      <c r="B36" s="19" t="s">
        <v>85</v>
      </c>
      <c r="D36" s="215"/>
      <c r="E36" s="215"/>
      <c r="F36" s="215"/>
      <c r="G36" s="215"/>
      <c r="H36" s="215"/>
      <c r="M36" s="215"/>
    </row>
    <row r="37" spans="1:15" ht="10.15" x14ac:dyDescent="0.2">
      <c r="B37" s="20" t="s">
        <v>225</v>
      </c>
      <c r="D37" s="216"/>
      <c r="E37" s="216"/>
      <c r="F37" s="216"/>
      <c r="G37" s="216"/>
      <c r="H37" s="28">
        <f>+IFERROR(H30/D30-1,"n/a")</f>
        <v>0.55834602644959386</v>
      </c>
      <c r="I37" s="28">
        <f>+IFERROR(I30/E30-1,"n/a")</f>
        <v>0.29481150510490517</v>
      </c>
      <c r="J37" s="28">
        <f>+IFERROR(J30/F30-1,"n/a")</f>
        <v>0.24348474103221651</v>
      </c>
      <c r="K37" s="28">
        <f t="shared" ref="K37:K41" si="33">+IFERROR(K30/G30-1,"n/a")</f>
        <v>0.17372517453643499</v>
      </c>
      <c r="L37" s="28"/>
      <c r="M37" s="216"/>
      <c r="N37" s="28">
        <f t="shared" ref="N37:O41" si="34">+IFERROR(N30/M30-1,"n/a")</f>
        <v>0.28991934288994514</v>
      </c>
      <c r="O37" s="28">
        <f t="shared" si="34"/>
        <v>0.14581255225675127</v>
      </c>
    </row>
    <row r="38" spans="1:15" ht="12" x14ac:dyDescent="0.35">
      <c r="B38" s="20" t="s">
        <v>226</v>
      </c>
      <c r="D38" s="217"/>
      <c r="E38" s="217"/>
      <c r="F38" s="217"/>
      <c r="G38" s="217"/>
      <c r="H38" s="31">
        <f t="shared" ref="H38:J41" si="35">+IFERROR(H31/D31-1,"n/a")</f>
        <v>3.2680093112191875</v>
      </c>
      <c r="I38" s="31">
        <f t="shared" si="35"/>
        <v>2.3415069936632618</v>
      </c>
      <c r="J38" s="31">
        <f t="shared" si="35"/>
        <v>0.71522332430832392</v>
      </c>
      <c r="K38" s="31">
        <f t="shared" si="33"/>
        <v>0.50982459684659887</v>
      </c>
      <c r="L38" s="31"/>
      <c r="M38" s="217"/>
      <c r="N38" s="31">
        <f t="shared" si="34"/>
        <v>1.1573740399904873</v>
      </c>
      <c r="O38" s="31">
        <f t="shared" si="34"/>
        <v>0.3423513158886613</v>
      </c>
    </row>
    <row r="39" spans="1:15" ht="10.15" x14ac:dyDescent="0.2">
      <c r="B39" s="30" t="s">
        <v>223</v>
      </c>
      <c r="D39" s="216"/>
      <c r="E39" s="216"/>
      <c r="F39" s="216"/>
      <c r="G39" s="216"/>
      <c r="H39" s="28">
        <f t="shared" si="35"/>
        <v>1.3065585373986539</v>
      </c>
      <c r="I39" s="28">
        <f t="shared" si="35"/>
        <v>0.85650616552004966</v>
      </c>
      <c r="J39" s="28">
        <f t="shared" si="35"/>
        <v>0.44325777965374424</v>
      </c>
      <c r="K39" s="28">
        <f t="shared" si="33"/>
        <v>0.32576005589783885</v>
      </c>
      <c r="L39" s="28"/>
      <c r="M39" s="216"/>
      <c r="N39" s="28">
        <f t="shared" si="34"/>
        <v>0.61953725483659916</v>
      </c>
      <c r="O39" s="28">
        <f t="shared" si="34"/>
        <v>0.24529506046515293</v>
      </c>
    </row>
    <row r="40" spans="1:15" ht="12" x14ac:dyDescent="0.35">
      <c r="B40" s="20" t="s">
        <v>222</v>
      </c>
      <c r="D40" s="180"/>
      <c r="E40" s="180"/>
      <c r="F40" s="180"/>
      <c r="G40" s="180"/>
      <c r="H40" s="47" t="str">
        <f t="shared" si="35"/>
        <v>n/a</v>
      </c>
      <c r="I40" s="47" t="str">
        <f t="shared" si="35"/>
        <v>n/a</v>
      </c>
      <c r="J40" s="47" t="str">
        <f t="shared" si="35"/>
        <v>n/a</v>
      </c>
      <c r="K40" s="47" t="str">
        <f t="shared" si="33"/>
        <v>n/a</v>
      </c>
      <c r="L40" s="47"/>
      <c r="M40" s="180"/>
      <c r="N40" s="47" t="str">
        <f t="shared" si="34"/>
        <v>n/a</v>
      </c>
      <c r="O40" s="47" t="str">
        <f t="shared" si="34"/>
        <v>n/a</v>
      </c>
    </row>
    <row r="41" spans="1:15" ht="10.15" x14ac:dyDescent="0.2">
      <c r="B41" s="30" t="s">
        <v>224</v>
      </c>
      <c r="D41" s="216"/>
      <c r="E41" s="216"/>
      <c r="F41" s="216"/>
      <c r="G41" s="216"/>
      <c r="H41" s="28">
        <f t="shared" si="35"/>
        <v>1.3065585373986539</v>
      </c>
      <c r="I41" s="28">
        <f t="shared" si="35"/>
        <v>0.85650616552004966</v>
      </c>
      <c r="J41" s="28">
        <f t="shared" si="35"/>
        <v>0.44325777965374424</v>
      </c>
      <c r="K41" s="28">
        <f t="shared" si="33"/>
        <v>0.32576005589783885</v>
      </c>
      <c r="L41" s="28"/>
      <c r="M41" s="216"/>
      <c r="N41" s="28">
        <f t="shared" si="34"/>
        <v>0.61953725483659916</v>
      </c>
      <c r="O41" s="28">
        <f t="shared" si="34"/>
        <v>0.24529506046515293</v>
      </c>
    </row>
    <row r="42" spans="1:15" ht="10.15" x14ac:dyDescent="0.2">
      <c r="B42" s="4"/>
      <c r="D42" s="215"/>
      <c r="E42" s="215"/>
      <c r="F42" s="215"/>
      <c r="G42" s="215"/>
      <c r="H42" s="215"/>
      <c r="M42" s="215"/>
    </row>
    <row r="43" spans="1:15" ht="10.15" x14ac:dyDescent="0.2">
      <c r="A43" t="s">
        <v>452</v>
      </c>
      <c r="B43" t="s">
        <v>93</v>
      </c>
      <c r="D43" s="14">
        <f t="shared" ref="D43:H43" si="36">+D24</f>
        <v>8462.4200000000019</v>
      </c>
      <c r="E43" s="14">
        <f t="shared" si="36"/>
        <v>14609.383999999995</v>
      </c>
      <c r="F43" s="14">
        <f t="shared" si="36"/>
        <v>18125.839999999997</v>
      </c>
      <c r="G43" s="14">
        <f t="shared" si="36"/>
        <v>24579.911999999997</v>
      </c>
      <c r="H43" s="14">
        <f t="shared" si="36"/>
        <v>28552.195000000011</v>
      </c>
      <c r="I43" s="14">
        <f t="shared" ref="I43:J43" si="37">+I24</f>
        <v>34987.298000000003</v>
      </c>
      <c r="J43" s="14">
        <f t="shared" si="37"/>
        <v>26770.462999999996</v>
      </c>
      <c r="K43" s="212">
        <f>_xll.VAData("PDD_US",K$1,$A43,"consensus.vaactuals","CD","IMPL",$P$1)</f>
        <v>29671.158887012349</v>
      </c>
      <c r="M43" s="14">
        <f t="shared" ref="M43" si="38">+M24</f>
        <v>65777.555999999997</v>
      </c>
      <c r="N43" s="10">
        <f t="shared" ref="N43" si="39">+SUM(H43:K43)</f>
        <v>119981.11488701236</v>
      </c>
      <c r="O43" s="212">
        <f>_xll.VAData("PDD_US",O$1,$A43,"consensus.vaactuals","CD","IMPL",$P$1)</f>
        <v>143153.1470420259</v>
      </c>
    </row>
    <row r="44" spans="1:15" ht="10.15" x14ac:dyDescent="0.2">
      <c r="B44" s="20" t="s">
        <v>85</v>
      </c>
      <c r="D44" s="216"/>
      <c r="E44" s="216"/>
      <c r="F44" s="216"/>
      <c r="G44" s="216"/>
      <c r="H44" s="28">
        <f>+IFERROR(H43/D43-1,"n/a")</f>
        <v>2.3739988088513693</v>
      </c>
      <c r="I44" s="28">
        <f>+IFERROR(I43/E43-1,"n/a")</f>
        <v>1.3948510080917864</v>
      </c>
      <c r="J44" s="28">
        <f>+IFERROR(J43/F43-1,"n/a")</f>
        <v>0.47692261434504557</v>
      </c>
      <c r="K44" s="28">
        <f t="shared" ref="K44" si="40">+IFERROR(K43/G43-1,"n/a")</f>
        <v>0.20713039521916721</v>
      </c>
      <c r="L44" s="28"/>
      <c r="M44" s="28"/>
      <c r="N44" s="28">
        <f>+IFERROR(N43/M43-1,"n/a")</f>
        <v>0.82404336955012991</v>
      </c>
      <c r="O44" s="28">
        <f>+IFERROR(O43/N43-1,"n/a")</f>
        <v>0.19313066207823559</v>
      </c>
    </row>
    <row r="45" spans="1:15" x14ac:dyDescent="0.2">
      <c r="B45" s="20" t="s">
        <v>87</v>
      </c>
      <c r="H45" s="29">
        <f>+H43/H34</f>
        <v>0.32889664556856102</v>
      </c>
      <c r="I45" s="29">
        <f>+I43/I34</f>
        <v>0.36047256399786232</v>
      </c>
      <c r="J45" s="29">
        <f>+J43/J34</f>
        <v>0.26944415879473721</v>
      </c>
      <c r="K45" s="29">
        <f t="shared" ref="K45:N45" si="41">+K43/K34</f>
        <v>0.2518027513408404</v>
      </c>
      <c r="M45" s="29">
        <f t="shared" si="41"/>
        <v>0.26561850737648746</v>
      </c>
      <c r="N45" s="29">
        <f t="shared" si="41"/>
        <v>0.29915932823587138</v>
      </c>
      <c r="O45" s="29">
        <f>+O43/O34</f>
        <v>0.28662778701749581</v>
      </c>
    </row>
    <row r="46" spans="1:15" x14ac:dyDescent="0.2">
      <c r="B46" s="20"/>
      <c r="H46" s="29"/>
      <c r="I46" s="29"/>
      <c r="J46" s="29"/>
      <c r="K46" s="29"/>
      <c r="M46" s="29"/>
      <c r="N46" s="29"/>
      <c r="O46" s="29"/>
    </row>
    <row r="47" spans="1:15" x14ac:dyDescent="0.2">
      <c r="B47" s="6" t="s">
        <v>454</v>
      </c>
      <c r="C47" s="5"/>
    </row>
    <row r="49" spans="2:15" x14ac:dyDescent="0.2">
      <c r="B49" t="s">
        <v>225</v>
      </c>
      <c r="J49" s="28"/>
      <c r="K49" s="28">
        <f>+IFERROR(K11/K30-1,"n/a")</f>
        <v>-1.1880783867182498E-2</v>
      </c>
      <c r="N49" s="28">
        <f>+IFERROR(N11/N30-1,"n/a")</f>
        <v>-3.4271833040259159E-3</v>
      </c>
      <c r="O49" s="46">
        <f>+IFERROR(O11/O30-1,"n/a")</f>
        <v>-1.6819734658690577E-2</v>
      </c>
    </row>
    <row r="50" spans="2:15" ht="13.5" x14ac:dyDescent="0.35">
      <c r="B50" t="s">
        <v>226</v>
      </c>
      <c r="J50" s="31"/>
      <c r="K50" s="31">
        <f t="shared" ref="K50" si="42">+IFERROR(K12/K31-1,"n/a")</f>
        <v>-0.12002439579585467</v>
      </c>
      <c r="N50" s="31">
        <f t="shared" ref="N50:O50" si="43">+IFERROR(N12/N31-1,"n/a")</f>
        <v>-3.5889859303950944E-2</v>
      </c>
      <c r="O50" s="47">
        <f t="shared" si="43"/>
        <v>-0.13619972212114873</v>
      </c>
    </row>
    <row r="51" spans="2:15" x14ac:dyDescent="0.2">
      <c r="B51" s="4" t="s">
        <v>223</v>
      </c>
      <c r="J51" s="28"/>
      <c r="K51" s="28">
        <f t="shared" ref="K51" si="44">+IFERROR(K13/K32-1,"n/a")</f>
        <v>-6.7591393452979487E-2</v>
      </c>
      <c r="N51" s="28">
        <f t="shared" ref="N51:O51" si="45">+IFERROR(N13/N32-1,"n/a")</f>
        <v>-1.9858895664227938E-2</v>
      </c>
      <c r="O51" s="46">
        <f t="shared" si="45"/>
        <v>-8.1956166311760947E-2</v>
      </c>
    </row>
    <row r="52" spans="2:15" ht="13.5" x14ac:dyDescent="0.35">
      <c r="B52" t="s">
        <v>222</v>
      </c>
      <c r="J52" s="47"/>
      <c r="K52" s="47" t="str">
        <f t="shared" ref="K52" si="46">+IFERROR(K14/K33-1,"n/a")</f>
        <v>n/a</v>
      </c>
      <c r="N52" s="47" t="str">
        <f t="shared" ref="N52:O52" si="47">+IFERROR(N14/N33-1,"n/a")</f>
        <v>n/a</v>
      </c>
      <c r="O52" s="47" t="str">
        <f t="shared" si="47"/>
        <v>n/a</v>
      </c>
    </row>
    <row r="53" spans="2:15" x14ac:dyDescent="0.2">
      <c r="B53" s="4" t="s">
        <v>224</v>
      </c>
      <c r="J53" s="28"/>
      <c r="K53" s="28">
        <f t="shared" ref="K53" si="48">+IFERROR(K15/K34-1,"n/a")</f>
        <v>-6.7591393452979487E-2</v>
      </c>
      <c r="N53" s="28">
        <f t="shared" ref="N53:O53" si="49">+IFERROR(N15/N34-1,"n/a")</f>
        <v>-1.9858895664227938E-2</v>
      </c>
      <c r="O53" s="46">
        <f t="shared" si="49"/>
        <v>-8.1956166311760947E-2</v>
      </c>
    </row>
    <row r="54" spans="2:15" x14ac:dyDescent="0.2">
      <c r="B54" s="4"/>
      <c r="O54" s="55"/>
    </row>
    <row r="55" spans="2:15" x14ac:dyDescent="0.2">
      <c r="B55" t="s">
        <v>93</v>
      </c>
      <c r="J55" s="28"/>
      <c r="K55" s="28">
        <f t="shared" ref="K55" si="50">+IFERROR(K24/K43-1,"n/a")</f>
        <v>-0.16680289293909234</v>
      </c>
      <c r="N55" s="28">
        <f t="shared" ref="N55:O55" si="51">+IFERROR(N24/N43-1,"n/a")</f>
        <v>-4.1250117936225794E-2</v>
      </c>
      <c r="O55" s="46">
        <f t="shared" si="51"/>
        <v>-0.27349471421250127</v>
      </c>
    </row>
    <row r="58" spans="2:15" s="190" customFormat="1" x14ac:dyDescent="0.2">
      <c r="B58" s="2" t="s">
        <v>459</v>
      </c>
    </row>
    <row r="59" spans="2:15" x14ac:dyDescent="0.2">
      <c r="B59" s="34" t="s">
        <v>460</v>
      </c>
    </row>
  </sheetData>
  <pageMargins left="0.3" right="0.3" top="0.3" bottom="0.3" header="0.3" footer="0.3"/>
  <pageSetup orientation="portrait" horizontalDpi="1200" verticalDpi="1200" r:id="rId1"/>
  <headerFooter>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4A38-1F1E-4D46-B176-47EB8606F2C9}">
  <sheetPr>
    <pageSetUpPr fitToPage="1"/>
  </sheetPr>
  <dimension ref="B2:N43"/>
  <sheetViews>
    <sheetView view="pageBreakPreview" zoomScaleNormal="100" zoomScaleSheetLayoutView="100" workbookViewId="0">
      <selection activeCell="F114" sqref="F114"/>
    </sheetView>
  </sheetViews>
  <sheetFormatPr defaultRowHeight="11.25" outlineLevelCol="1" x14ac:dyDescent="0.2"/>
  <cols>
    <col min="1" max="1" width="2.83203125" customWidth="1"/>
    <col min="2" max="2" width="25.83203125" customWidth="1"/>
    <col min="3" max="3" width="2.83203125" customWidth="1"/>
    <col min="4" max="4" width="10.83203125" hidden="1" customWidth="1" outlineLevel="1"/>
    <col min="5" max="5" width="10.83203125" customWidth="1" collapsed="1"/>
    <col min="6" max="14" width="10.83203125" customWidth="1"/>
  </cols>
  <sheetData>
    <row r="2" spans="2:14" x14ac:dyDescent="0.2">
      <c r="B2" s="1" t="s">
        <v>0</v>
      </c>
      <c r="N2" s="59">
        <f ca="1">TODAY()</f>
        <v>45796</v>
      </c>
    </row>
    <row r="3" spans="2:14" s="190" customFormat="1" x14ac:dyDescent="0.2">
      <c r="B3" s="2" t="s">
        <v>576</v>
      </c>
    </row>
    <row r="4" spans="2:14" x14ac:dyDescent="0.2">
      <c r="B4" s="3" t="s">
        <v>108</v>
      </c>
    </row>
    <row r="5" spans="2:14" x14ac:dyDescent="0.2">
      <c r="L5" s="190"/>
      <c r="M5" s="191" t="s">
        <v>244</v>
      </c>
      <c r="N5" s="190"/>
    </row>
    <row r="6" spans="2:14" ht="13.5" x14ac:dyDescent="0.35">
      <c r="E6" s="7" t="s">
        <v>46</v>
      </c>
      <c r="F6" s="7" t="s">
        <v>47</v>
      </c>
      <c r="G6" s="7" t="s">
        <v>48</v>
      </c>
      <c r="H6" s="7" t="s">
        <v>240</v>
      </c>
      <c r="I6" s="7" t="s">
        <v>241</v>
      </c>
      <c r="J6" s="7" t="s">
        <v>242</v>
      </c>
      <c r="K6" s="7" t="s">
        <v>243</v>
      </c>
      <c r="L6" s="7" t="s">
        <v>469</v>
      </c>
      <c r="M6" s="7" t="s">
        <v>585</v>
      </c>
      <c r="N6" s="7" t="s">
        <v>470</v>
      </c>
    </row>
    <row r="8" spans="2:14" x14ac:dyDescent="0.2">
      <c r="B8" s="24" t="s">
        <v>369</v>
      </c>
    </row>
    <row r="9" spans="2:14" x14ac:dyDescent="0.2">
      <c r="B9" t="s">
        <v>358</v>
      </c>
      <c r="E9" s="160">
        <f>+'Historical Financials'!AB247</f>
        <v>479.83615509046422</v>
      </c>
      <c r="F9" s="160">
        <f>+'Historical Financials'!AC247</f>
        <v>548.44083541875887</v>
      </c>
      <c r="G9" s="160">
        <f>+'Historical Financials'!AD247</f>
        <v>576.22322711698712</v>
      </c>
      <c r="H9" s="160">
        <f>+'Historical Financials'!AE247</f>
        <v>661.29192299001215</v>
      </c>
      <c r="I9" s="160">
        <f>+'Historical Financials'!AF247</f>
        <v>583.02915563096553</v>
      </c>
      <c r="J9" s="160">
        <f>+'Historical Financials'!AG247</f>
        <v>644.87169229744484</v>
      </c>
      <c r="K9" s="160">
        <f>+'Historical Financials'!AH247</f>
        <v>682.04814640617758</v>
      </c>
      <c r="L9" s="160">
        <f>+'Historical Financials'!AI247</f>
        <v>773.45324538614875</v>
      </c>
      <c r="M9" s="14">
        <f>+L9</f>
        <v>773.45324538614875</v>
      </c>
      <c r="N9" s="14">
        <f>+M9</f>
        <v>773.45324538614875</v>
      </c>
    </row>
    <row r="10" spans="2:14" ht="13.5" x14ac:dyDescent="0.35">
      <c r="B10" t="s">
        <v>577</v>
      </c>
      <c r="E10" s="161">
        <f>+'Historical Financials'!AB248</f>
        <v>4.9398421931012768</v>
      </c>
      <c r="F10" s="161">
        <f>+'Historical Financials'!AC248</f>
        <v>17.19662018252307</v>
      </c>
      <c r="G10" s="161">
        <f>+'Historical Financials'!AD248</f>
        <v>35.681548173179472</v>
      </c>
      <c r="H10" s="161">
        <f>+'Historical Financials'!AE248</f>
        <v>50.19317952109477</v>
      </c>
      <c r="I10" s="161">
        <f>+'Historical Financials'!AF248</f>
        <v>55.535233042035216</v>
      </c>
      <c r="J10" s="161">
        <f>+'Historical Financials'!AG248</f>
        <v>67.21605885931119</v>
      </c>
      <c r="K10" s="161">
        <f>+'Historical Financials'!AH248</f>
        <v>72.593343568056085</v>
      </c>
      <c r="L10" s="161">
        <f>+'Historical Financials'!AI248</f>
        <v>79.852677924861709</v>
      </c>
      <c r="M10" s="15">
        <f t="shared" ref="M10:N11" si="0">+L10</f>
        <v>79.852677924861709</v>
      </c>
      <c r="N10" s="15">
        <f t="shared" si="0"/>
        <v>79.852677924861709</v>
      </c>
    </row>
    <row r="11" spans="2:14" s="1" customFormat="1" x14ac:dyDescent="0.2">
      <c r="B11" s="38" t="s">
        <v>396</v>
      </c>
      <c r="E11" s="42">
        <f>SUM(E9:E10)</f>
        <v>484.77599728356552</v>
      </c>
      <c r="F11" s="42">
        <f t="shared" ref="F11:L11" si="1">SUM(F9:F10)</f>
        <v>565.63745560128189</v>
      </c>
      <c r="G11" s="42">
        <f t="shared" si="1"/>
        <v>611.90477529016664</v>
      </c>
      <c r="H11" s="42">
        <f t="shared" si="1"/>
        <v>711.4851025111069</v>
      </c>
      <c r="I11" s="42">
        <f t="shared" si="1"/>
        <v>638.56438867300074</v>
      </c>
      <c r="J11" s="42">
        <f t="shared" si="1"/>
        <v>712.08775115675598</v>
      </c>
      <c r="K11" s="42">
        <f t="shared" si="1"/>
        <v>754.64148997423365</v>
      </c>
      <c r="L11" s="42">
        <f t="shared" si="1"/>
        <v>853.30592331101047</v>
      </c>
      <c r="M11" s="48">
        <f t="shared" si="0"/>
        <v>853.30592331101047</v>
      </c>
      <c r="N11" s="48">
        <f t="shared" si="0"/>
        <v>853.30592331101047</v>
      </c>
    </row>
    <row r="12" spans="2:14" x14ac:dyDescent="0.2">
      <c r="H12" s="33"/>
      <c r="L12" s="33"/>
    </row>
    <row r="13" spans="2:14" x14ac:dyDescent="0.2">
      <c r="B13" s="19" t="s">
        <v>85</v>
      </c>
    </row>
    <row r="14" spans="2:14" x14ac:dyDescent="0.2">
      <c r="B14" s="20" t="s">
        <v>358</v>
      </c>
      <c r="E14" s="273">
        <f>+'Historical Financials'!AB255</f>
        <v>0.25130784591391442</v>
      </c>
      <c r="F14" s="273">
        <f>+'Historical Financials'!AC255</f>
        <v>0.2922068884407818</v>
      </c>
      <c r="G14" s="273">
        <f>+'Historical Financials'!AD255</f>
        <v>0.2090115629831375</v>
      </c>
      <c r="H14" s="273">
        <f>+'Historical Financials'!AE255</f>
        <v>0.24302993043235377</v>
      </c>
      <c r="I14" s="273">
        <f>+'Historical Financials'!AF255</f>
        <v>0.21505882673856913</v>
      </c>
      <c r="J14" s="273">
        <f>+'Historical Financials'!AG255</f>
        <v>0.17582727370228857</v>
      </c>
      <c r="K14" s="273">
        <f>+'Historical Financials'!AH255</f>
        <v>0.18365264416476812</v>
      </c>
      <c r="L14" s="273">
        <f>+'Historical Financials'!AI255</f>
        <v>0.1696093941220429</v>
      </c>
      <c r="M14" s="216">
        <f>+L14</f>
        <v>0.1696093941220429</v>
      </c>
      <c r="N14" s="216">
        <f>+M14</f>
        <v>0.1696093941220429</v>
      </c>
    </row>
    <row r="15" spans="2:14" ht="13.5" x14ac:dyDescent="0.35">
      <c r="B15" s="20" t="s">
        <v>577</v>
      </c>
      <c r="E15" s="274" t="str">
        <f>+'Historical Financials'!AB256</f>
        <v>n/a</v>
      </c>
      <c r="F15" s="274" t="str">
        <f>+'Historical Financials'!AC256</f>
        <v>n/a</v>
      </c>
      <c r="G15" s="274">
        <f>+'Historical Financials'!AD256</f>
        <v>1565.0238807217838</v>
      </c>
      <c r="H15" s="274">
        <f>+'Historical Financials'!AE256</f>
        <v>27.574913288249853</v>
      </c>
      <c r="I15" s="274">
        <f>+'Historical Financials'!AF256</f>
        <v>10.242309140885673</v>
      </c>
      <c r="J15" s="274">
        <f>+'Historical Financials'!AG256</f>
        <v>2.9086784580857867</v>
      </c>
      <c r="K15" s="274">
        <f>+'Historical Financials'!AH256</f>
        <v>1.0344785269889685</v>
      </c>
      <c r="L15" s="274">
        <f>+'Historical Financials'!AI256</f>
        <v>0.59090694565985591</v>
      </c>
      <c r="M15" s="217">
        <f t="shared" ref="M15:N15" si="2">+L15</f>
        <v>0.59090694565985591</v>
      </c>
      <c r="N15" s="217">
        <f t="shared" si="2"/>
        <v>0.59090694565985591</v>
      </c>
    </row>
    <row r="16" spans="2:14" x14ac:dyDescent="0.2">
      <c r="B16" s="30" t="s">
        <v>396</v>
      </c>
      <c r="E16" s="273">
        <f>+'Historical Financials'!AB257</f>
        <v>0.26418987497368551</v>
      </c>
      <c r="F16" s="273">
        <f>+'Historical Financials'!AC257</f>
        <v>0.33272464281402958</v>
      </c>
      <c r="G16" s="273">
        <f>+'Historical Financials'!AD257</f>
        <v>0.28381597367151268</v>
      </c>
      <c r="H16" s="273">
        <f>+'Historical Financials'!AE257</f>
        <v>0.33297681583290673</v>
      </c>
      <c r="I16" s="273">
        <f>+'Historical Financials'!AF257</f>
        <v>0.31723598579794787</v>
      </c>
      <c r="J16" s="273">
        <f>+'Historical Financials'!AG257</f>
        <v>0.25891194811311613</v>
      </c>
      <c r="K16" s="273">
        <f>+'Historical Financials'!AH257</f>
        <v>0.23326622122924423</v>
      </c>
      <c r="L16" s="273">
        <f>+'Historical Financials'!AI257</f>
        <v>0.19933069617250299</v>
      </c>
      <c r="M16" s="216">
        <f t="shared" ref="M16:N16" si="3">+L16</f>
        <v>0.19933069617250299</v>
      </c>
      <c r="N16" s="216">
        <f t="shared" si="3"/>
        <v>0.19933069617250299</v>
      </c>
    </row>
    <row r="18" spans="2:14" x14ac:dyDescent="0.2">
      <c r="B18" s="19" t="s">
        <v>261</v>
      </c>
    </row>
    <row r="19" spans="2:14" x14ac:dyDescent="0.2">
      <c r="B19" s="20" t="s">
        <v>358</v>
      </c>
      <c r="E19" s="269">
        <f>+'Historical Financials'!AB262</f>
        <v>-9.8052340055518439E-2</v>
      </c>
      <c r="F19" s="269">
        <f>+'Historical Financials'!AC262</f>
        <v>0.1429752210217683</v>
      </c>
      <c r="G19" s="269">
        <f>+'Historical Financials'!AD262</f>
        <v>5.0657044304542209E-2</v>
      </c>
      <c r="H19" s="269">
        <f>+'Historical Financials'!AE262</f>
        <v>0.14763149395877107</v>
      </c>
      <c r="I19" s="269">
        <f>+'Historical Financials'!AF262</f>
        <v>-0.11834828861236324</v>
      </c>
      <c r="J19" s="269">
        <f>+'Historical Financials'!AG262</f>
        <v>0.10607108764492601</v>
      </c>
      <c r="K19" s="269">
        <f>+'Historical Financials'!AH262</f>
        <v>5.7649381346367434E-2</v>
      </c>
      <c r="L19" s="269">
        <f>+'Historical Financials'!AI262</f>
        <v>0.13401561086500924</v>
      </c>
      <c r="M19" s="216">
        <f>+L19</f>
        <v>0.13401561086500924</v>
      </c>
      <c r="N19" s="216">
        <f>+M19</f>
        <v>0.13401561086500924</v>
      </c>
    </row>
    <row r="20" spans="2:14" ht="13.5" x14ac:dyDescent="0.35">
      <c r="B20" s="20" t="s">
        <v>577</v>
      </c>
      <c r="E20" s="270">
        <f>+'Historical Financials'!AB263</f>
        <v>1.81224588026314</v>
      </c>
      <c r="F20" s="270">
        <f>+'Historical Financials'!AC263</f>
        <v>2.4812084091550459</v>
      </c>
      <c r="G20" s="270">
        <f>+'Historical Financials'!AD263</f>
        <v>1.0749163378884554</v>
      </c>
      <c r="H20" s="270">
        <f>+'Historical Financials'!AE263</f>
        <v>0.4066984783699259</v>
      </c>
      <c r="I20" s="270">
        <f>+'Historical Financials'!AF263</f>
        <v>0.10642986899635098</v>
      </c>
      <c r="J20" s="270">
        <f>+'Historical Financials'!AG263</f>
        <v>0.21033180518815198</v>
      </c>
      <c r="K20" s="270">
        <f>+'Historical Financials'!AH263</f>
        <v>8.0000000000000071E-2</v>
      </c>
      <c r="L20" s="270">
        <f>+'Historical Financials'!AI263</f>
        <v>0.10000000000000031</v>
      </c>
      <c r="M20" s="217">
        <f t="shared" ref="M20:N20" si="4">+L20</f>
        <v>0.10000000000000031</v>
      </c>
      <c r="N20" s="217">
        <f t="shared" si="4"/>
        <v>0.10000000000000031</v>
      </c>
    </row>
    <row r="21" spans="2:14" x14ac:dyDescent="0.2">
      <c r="B21" s="30" t="s">
        <v>396</v>
      </c>
      <c r="E21" s="269">
        <f>+'Historical Financials'!AB264</f>
        <v>-9.176571235209896E-2</v>
      </c>
      <c r="F21" s="269">
        <f>+'Historical Financials'!AC264</f>
        <v>0.16680169556830826</v>
      </c>
      <c r="G21" s="269">
        <f>+'Historical Financials'!AD264</f>
        <v>8.1796775002641597E-2</v>
      </c>
      <c r="H21" s="269">
        <f>+'Historical Financials'!AE264</f>
        <v>0.16273827438872179</v>
      </c>
      <c r="I21" s="269">
        <f>+'Historical Financials'!AF264</f>
        <v>-0.10249085129223467</v>
      </c>
      <c r="J21" s="269">
        <f>+'Historical Financials'!AG264</f>
        <v>0.11513852602482899</v>
      </c>
      <c r="K21" s="269">
        <f>+'Historical Financials'!AH264</f>
        <v>5.9759122030046186E-2</v>
      </c>
      <c r="L21" s="269">
        <f>+'Historical Financials'!AI264</f>
        <v>0.13074345188752567</v>
      </c>
      <c r="M21" s="216">
        <f t="shared" ref="M21:N21" si="5">+L21</f>
        <v>0.13074345188752567</v>
      </c>
      <c r="N21" s="216">
        <f t="shared" si="5"/>
        <v>0.13074345188752567</v>
      </c>
    </row>
    <row r="23" spans="2:14" x14ac:dyDescent="0.2">
      <c r="B23" s="24" t="s">
        <v>88</v>
      </c>
      <c r="L23" s="10"/>
    </row>
    <row r="24" spans="2:14" x14ac:dyDescent="0.2">
      <c r="B24" t="s">
        <v>580</v>
      </c>
      <c r="D24" s="14">
        <f>+D27/'Historical Financials'!AA549</f>
        <v>2416.0425223483935</v>
      </c>
      <c r="E24" s="14">
        <f>+E27/'Historical Financials'!AB549</f>
        <v>2531.2645376679529</v>
      </c>
      <c r="F24" s="14">
        <f>+F27/'Historical Financials'!AC549</f>
        <v>3013.1034966014995</v>
      </c>
      <c r="G24" s="14">
        <f>+G27/'Historical Financials'!AD549</f>
        <v>3621.4826349907653</v>
      </c>
      <c r="H24" s="14">
        <f>+H27/'Historical Financials'!AE549</f>
        <v>4838.1389773474002</v>
      </c>
      <c r="I24" s="14">
        <f>+I27/'Historical Financials'!AF549</f>
        <v>2656.3475938516322</v>
      </c>
      <c r="J24" s="14">
        <f>+J27/'Historical Financials'!AG549</f>
        <v>3041.4506271181531</v>
      </c>
      <c r="K24" s="14">
        <f>+K27/'Historical Financials'!AH549</f>
        <v>5513.1922815308053</v>
      </c>
      <c r="L24" s="14">
        <f ca="1">+L27/'Historical Financials'!$AI$549</f>
        <v>9306.0126645806467</v>
      </c>
      <c r="M24" s="14">
        <f ca="1">+M27/'Historical Financials'!$AI$549</f>
        <v>9306.0126645806467</v>
      </c>
      <c r="N24" s="14">
        <f ca="1">+N27/'Historical Financials'!$AI$549</f>
        <v>9306.0126645806467</v>
      </c>
    </row>
    <row r="25" spans="2:14" ht="13.5" x14ac:dyDescent="0.35">
      <c r="B25" t="s">
        <v>578</v>
      </c>
      <c r="D25" s="25">
        <f t="shared" ref="D25:K25" si="6">+D26-D24</f>
        <v>14780.791477651605</v>
      </c>
      <c r="E25" s="25">
        <f t="shared" si="6"/>
        <v>13239.650462332047</v>
      </c>
      <c r="F25" s="25">
        <f t="shared" si="6"/>
        <v>13539.779503398498</v>
      </c>
      <c r="G25" s="25">
        <f t="shared" si="6"/>
        <v>17662.016365009236</v>
      </c>
      <c r="H25" s="25">
        <f t="shared" si="6"/>
        <v>21389.337022652602</v>
      </c>
      <c r="I25" s="25">
        <f t="shared" si="6"/>
        <v>20081.932406148368</v>
      </c>
      <c r="J25" s="25">
        <f t="shared" si="6"/>
        <v>22369.689372881847</v>
      </c>
      <c r="K25" s="25">
        <f t="shared" si="6"/>
        <v>24320.501718469193</v>
      </c>
      <c r="L25" s="25">
        <f>+$K25*(1+L42)</f>
        <v>27536.526804392655</v>
      </c>
      <c r="M25" s="25">
        <f t="shared" ref="M25:N25" si="7">+$K25*(1+M42)</f>
        <v>30238.9619246855</v>
      </c>
      <c r="N25" s="25">
        <f t="shared" si="7"/>
        <v>33698.192027793644</v>
      </c>
    </row>
    <row r="26" spans="2:14" x14ac:dyDescent="0.2">
      <c r="B26" s="38" t="s">
        <v>416</v>
      </c>
      <c r="D26" s="271">
        <f>+'Historical Financials'!AA450</f>
        <v>17196.833999999999</v>
      </c>
      <c r="E26" s="271">
        <f>+'Historical Financials'!AB450</f>
        <v>15770.915000000001</v>
      </c>
      <c r="F26" s="271">
        <f>+'Historical Financials'!AC450</f>
        <v>16552.882999999998</v>
      </c>
      <c r="G26" s="271">
        <f>+'Historical Financials'!AD450</f>
        <v>21283.499</v>
      </c>
      <c r="H26" s="271">
        <f>+'Historical Financials'!AE450</f>
        <v>26227.476000000002</v>
      </c>
      <c r="I26" s="271">
        <f>+'Historical Financials'!AF450</f>
        <v>22738.28</v>
      </c>
      <c r="J26" s="271">
        <f>+'Historical Financials'!AG450</f>
        <v>25411.14</v>
      </c>
      <c r="K26" s="271">
        <f>+'Historical Financials'!AH450</f>
        <v>29833.694</v>
      </c>
      <c r="L26" s="42">
        <f ca="1">SUM(L24:L25)</f>
        <v>36842.5394689733</v>
      </c>
      <c r="M26" s="42">
        <f t="shared" ref="M26:N26" ca="1" si="8">SUM(M24:M25)</f>
        <v>39544.974589266145</v>
      </c>
      <c r="N26" s="42">
        <f t="shared" ca="1" si="8"/>
        <v>43004.204692374289</v>
      </c>
    </row>
    <row r="27" spans="2:14" x14ac:dyDescent="0.2">
      <c r="B27" s="20" t="s">
        <v>579</v>
      </c>
      <c r="D27" s="174">
        <v>340</v>
      </c>
      <c r="E27" s="174">
        <v>370</v>
      </c>
      <c r="F27" s="174">
        <v>430</v>
      </c>
      <c r="G27" s="174">
        <v>500</v>
      </c>
      <c r="H27" s="174">
        <v>670</v>
      </c>
      <c r="I27" s="174">
        <v>370</v>
      </c>
      <c r="J27" s="174">
        <v>420</v>
      </c>
      <c r="K27" s="174">
        <v>770</v>
      </c>
      <c r="L27" s="146">
        <v>1300</v>
      </c>
      <c r="M27" s="53">
        <f>+L27</f>
        <v>1300</v>
      </c>
      <c r="N27" s="53">
        <f>+M27</f>
        <v>1300</v>
      </c>
    </row>
    <row r="28" spans="2:14" x14ac:dyDescent="0.2">
      <c r="B28" s="20"/>
      <c r="G28" s="146"/>
      <c r="H28" s="276"/>
      <c r="I28" s="146"/>
      <c r="J28" s="146"/>
      <c r="K28" s="146"/>
      <c r="L28" s="276"/>
      <c r="M28" s="276"/>
      <c r="N28" s="276"/>
    </row>
    <row r="29" spans="2:14" x14ac:dyDescent="0.2">
      <c r="B29" s="19" t="s">
        <v>85</v>
      </c>
      <c r="G29" s="146"/>
      <c r="H29" s="146"/>
      <c r="I29" s="146"/>
      <c r="J29" s="146"/>
      <c r="K29" s="146"/>
      <c r="L29" s="146"/>
    </row>
    <row r="30" spans="2:14" x14ac:dyDescent="0.2">
      <c r="B30" s="20" t="s">
        <v>580</v>
      </c>
      <c r="E30" s="173" t="s">
        <v>64</v>
      </c>
      <c r="F30" s="173" t="s">
        <v>64</v>
      </c>
      <c r="G30" s="173" t="s">
        <v>64</v>
      </c>
      <c r="H30" s="173">
        <f t="shared" ref="H30:K31" si="9">IFERROR(H24/D24-1,"n/a")</f>
        <v>1.0025057227240888</v>
      </c>
      <c r="I30" s="173">
        <f t="shared" si="9"/>
        <v>4.9415244563461469E-2</v>
      </c>
      <c r="J30" s="173">
        <f t="shared" si="9"/>
        <v>9.4079511535618554E-3</v>
      </c>
      <c r="K30" s="173">
        <f t="shared" si="9"/>
        <v>0.52235778469910121</v>
      </c>
      <c r="L30" s="216">
        <f ca="1">+L24/$H24-1</f>
        <v>0.92346948034197252</v>
      </c>
      <c r="M30" s="216">
        <f t="shared" ref="M30:N30" ca="1" si="10">+M24/$H24-1</f>
        <v>0.92346948034197252</v>
      </c>
      <c r="N30" s="216">
        <f t="shared" ca="1" si="10"/>
        <v>0.92346948034197252</v>
      </c>
    </row>
    <row r="31" spans="2:14" ht="13.5" x14ac:dyDescent="0.35">
      <c r="B31" s="20" t="s">
        <v>578</v>
      </c>
      <c r="E31" s="180" t="s">
        <v>64</v>
      </c>
      <c r="F31" s="180" t="s">
        <v>64</v>
      </c>
      <c r="G31" s="180" t="s">
        <v>64</v>
      </c>
      <c r="H31" s="180">
        <f t="shared" si="9"/>
        <v>0.44710363142549214</v>
      </c>
      <c r="I31" s="180">
        <f t="shared" si="9"/>
        <v>0.51680231009747613</v>
      </c>
      <c r="J31" s="180">
        <f t="shared" si="9"/>
        <v>0.65214576553975867</v>
      </c>
      <c r="K31" s="180">
        <f t="shared" si="9"/>
        <v>0.37699463163511093</v>
      </c>
      <c r="L31" s="217">
        <f t="shared" ref="L31:N32" si="11">+L25/$H25-1</f>
        <v>0.28739505928724229</v>
      </c>
      <c r="M31" s="217">
        <f t="shared" si="11"/>
        <v>0.41374002815798394</v>
      </c>
      <c r="N31" s="217">
        <f t="shared" si="11"/>
        <v>0.57546687829104837</v>
      </c>
    </row>
    <row r="32" spans="2:14" x14ac:dyDescent="0.2">
      <c r="B32" s="30" t="s">
        <v>416</v>
      </c>
      <c r="E32" s="269">
        <f>+'Historical Financials'!AB455</f>
        <v>0.47144704642104118</v>
      </c>
      <c r="F32" s="269">
        <f>+'Historical Financials'!AC455</f>
        <v>0.52844452315665658</v>
      </c>
      <c r="G32" s="269">
        <f>+'Historical Financials'!AD455</f>
        <v>0.58355149468488854</v>
      </c>
      <c r="H32" s="269">
        <f>+'Historical Financials'!AE455</f>
        <v>0.52513398687223489</v>
      </c>
      <c r="I32" s="269">
        <f>+'Historical Financials'!AF455</f>
        <v>0.4417857175693356</v>
      </c>
      <c r="J32" s="269">
        <f>+'Historical Financials'!AG455</f>
        <v>0.53514889218995876</v>
      </c>
      <c r="K32" s="269">
        <f>+'Historical Financials'!AH455</f>
        <v>0.40172882287823075</v>
      </c>
      <c r="L32" s="216">
        <f t="shared" ca="1" si="11"/>
        <v>0.40473065227371841</v>
      </c>
      <c r="M32" s="216">
        <f t="shared" ca="1" si="11"/>
        <v>0.50776897438648461</v>
      </c>
      <c r="N32" s="216">
        <f t="shared" ca="1" si="11"/>
        <v>0.63966234083578177</v>
      </c>
    </row>
    <row r="33" spans="2:14" x14ac:dyDescent="0.2">
      <c r="B33" s="30"/>
    </row>
    <row r="34" spans="2:14" x14ac:dyDescent="0.2">
      <c r="B34" s="19" t="s">
        <v>261</v>
      </c>
    </row>
    <row r="35" spans="2:14" x14ac:dyDescent="0.2">
      <c r="B35" s="20" t="s">
        <v>580</v>
      </c>
      <c r="E35" s="216">
        <f>+IFERROR(E24/D24-1,"n/a")</f>
        <v>4.7690392140765647E-2</v>
      </c>
      <c r="F35" s="216">
        <f t="shared" ref="F35:G35" si="12">+IFERROR(F24/E24-1,"n/a")</f>
        <v>0.19035503866279568</v>
      </c>
      <c r="G35" s="216">
        <f t="shared" si="12"/>
        <v>0.20191113218495849</v>
      </c>
      <c r="H35" s="216">
        <f>+IFERROR(H24/G24-1,"n/a")</f>
        <v>0.33595531581493754</v>
      </c>
      <c r="I35" s="216">
        <f t="shared" ref="I35:J35" si="13">+IFERROR(I24/H24-1,"n/a")</f>
        <v>-0.45095674053827528</v>
      </c>
      <c r="J35" s="216">
        <f t="shared" si="13"/>
        <v>0.14497463892070384</v>
      </c>
      <c r="K35" s="216">
        <f t="shared" ref="K35" si="14">+IFERROR(K24/J24-1,"n/a")</f>
        <v>0.81268511557417145</v>
      </c>
      <c r="L35" s="216">
        <f ca="1">+IFERROR(L24/$K24-1,"n/a")</f>
        <v>0.68795358285539754</v>
      </c>
      <c r="M35" s="216">
        <f t="shared" ref="M35:N35" ca="1" si="15">+IFERROR(M24/$K24-1,"n/a")</f>
        <v>0.68795358285539754</v>
      </c>
      <c r="N35" s="216">
        <f t="shared" ca="1" si="15"/>
        <v>0.68795358285539754</v>
      </c>
    </row>
    <row r="36" spans="2:14" ht="13.5" x14ac:dyDescent="0.35">
      <c r="B36" s="20" t="s">
        <v>578</v>
      </c>
      <c r="E36" s="217">
        <f t="shared" ref="E36:G37" si="16">+IFERROR(E25/D25-1,"n/a")</f>
        <v>-0.10426647433933056</v>
      </c>
      <c r="F36" s="217">
        <f t="shared" si="16"/>
        <v>2.2668955039284899E-2</v>
      </c>
      <c r="G36" s="217">
        <f t="shared" si="16"/>
        <v>0.30445376607322538</v>
      </c>
      <c r="H36" s="217">
        <f t="shared" ref="H36:J37" si="17">+IFERROR(H25/G25-1,"n/a")</f>
        <v>0.21103596444558148</v>
      </c>
      <c r="I36" s="217">
        <f t="shared" si="17"/>
        <v>-6.1124129986806719E-2</v>
      </c>
      <c r="J36" s="217">
        <f t="shared" si="17"/>
        <v>0.11392115661304825</v>
      </c>
      <c r="K36" s="217">
        <f t="shared" ref="K36" si="18">+IFERROR(K25/J25-1,"n/a")</f>
        <v>8.7207842409839698E-2</v>
      </c>
      <c r="L36" s="217">
        <f t="shared" ref="L36:N37" si="19">+IFERROR(L25/$K25-1,"n/a")</f>
        <v>0.13223514560479588</v>
      </c>
      <c r="M36" s="217">
        <f t="shared" si="19"/>
        <v>0.24335271840719375</v>
      </c>
      <c r="N36" s="217">
        <f t="shared" si="19"/>
        <v>0.38558786401198919</v>
      </c>
    </row>
    <row r="37" spans="2:14" x14ac:dyDescent="0.2">
      <c r="B37" s="30" t="s">
        <v>416</v>
      </c>
      <c r="E37" s="216">
        <f t="shared" si="16"/>
        <v>-8.2917530052333932E-2</v>
      </c>
      <c r="F37" s="216">
        <f t="shared" si="16"/>
        <v>4.9582918936535769E-2</v>
      </c>
      <c r="G37" s="216">
        <f t="shared" si="16"/>
        <v>0.2857880406694111</v>
      </c>
      <c r="H37" s="216">
        <f t="shared" si="17"/>
        <v>0.23229155130930312</v>
      </c>
      <c r="I37" s="216">
        <f t="shared" si="17"/>
        <v>-0.13303590478931349</v>
      </c>
      <c r="J37" s="216">
        <f t="shared" si="17"/>
        <v>0.11754890871253232</v>
      </c>
      <c r="K37" s="216">
        <f t="shared" ref="K37" si="20">+IFERROR(K26/J26-1,"n/a")</f>
        <v>0.17403996829736879</v>
      </c>
      <c r="L37" s="216">
        <f t="shared" ca="1" si="19"/>
        <v>0.23493052750937582</v>
      </c>
      <c r="M37" s="216">
        <f t="shared" ca="1" si="19"/>
        <v>0.32551384985265797</v>
      </c>
      <c r="N37" s="216">
        <f t="shared" ca="1" si="19"/>
        <v>0.44146429511458729</v>
      </c>
    </row>
    <row r="39" spans="2:14" x14ac:dyDescent="0.2">
      <c r="B39" s="272" t="s">
        <v>65</v>
      </c>
    </row>
    <row r="40" spans="2:14" x14ac:dyDescent="0.2">
      <c r="B40" s="30" t="s">
        <v>583</v>
      </c>
      <c r="L40" s="170">
        <v>0.05</v>
      </c>
      <c r="M40" s="170">
        <v>0.12</v>
      </c>
      <c r="N40" s="170">
        <v>0.18</v>
      </c>
    </row>
    <row r="41" spans="2:14" ht="13.5" x14ac:dyDescent="0.35">
      <c r="B41" s="30" t="s">
        <v>581</v>
      </c>
      <c r="L41" s="217">
        <f>+L43/$K25</f>
        <v>8.2235145604795779E-2</v>
      </c>
      <c r="M41" s="217">
        <f t="shared" ref="M41:N41" si="21">+M43/$K25</f>
        <v>0.12335271840719367</v>
      </c>
      <c r="N41" s="217">
        <f t="shared" si="21"/>
        <v>0.20558786401198945</v>
      </c>
    </row>
    <row r="42" spans="2:14" x14ac:dyDescent="0.2">
      <c r="B42" s="267" t="s">
        <v>582</v>
      </c>
      <c r="L42" s="28">
        <f>SUM(L40:L41)</f>
        <v>0.13223514560479577</v>
      </c>
      <c r="M42" s="28">
        <f t="shared" ref="M42:N42" si="22">SUM(M40:M41)</f>
        <v>0.24335271840719366</v>
      </c>
      <c r="N42" s="28">
        <f t="shared" si="22"/>
        <v>0.38558786401198941</v>
      </c>
    </row>
    <row r="43" spans="2:14" x14ac:dyDescent="0.2">
      <c r="B43" s="267" t="s">
        <v>584</v>
      </c>
      <c r="L43" s="146">
        <v>2000</v>
      </c>
      <c r="M43" s="146">
        <v>3000</v>
      </c>
      <c r="N43" s="146">
        <v>5000</v>
      </c>
    </row>
  </sheetData>
  <phoneticPr fontId="4" type="noConversion"/>
  <pageMargins left="0.3" right="0.3" top="0.3" bottom="0.3" header="0.3" footer="0.3"/>
  <pageSetup scale="93" orientation="portrait" r:id="rId1"/>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CDC58-C770-4338-89CF-2A82A01F719F}">
  <dimension ref="A1:K28"/>
  <sheetViews>
    <sheetView showGridLines="0" view="pageBreakPreview" zoomScale="130" zoomScaleNormal="130" zoomScaleSheetLayoutView="130" workbookViewId="0">
      <selection activeCell="F112" sqref="F112"/>
    </sheetView>
  </sheetViews>
  <sheetFormatPr defaultRowHeight="11.25" outlineLevelCol="1" x14ac:dyDescent="0.2"/>
  <cols>
    <col min="1" max="1" width="2.6640625" customWidth="1"/>
    <col min="2" max="2" width="20.6640625" customWidth="1"/>
    <col min="3" max="3" width="2.6640625" customWidth="1"/>
    <col min="4" max="4" width="10.6640625" hidden="1" customWidth="1" outlineLevel="1"/>
    <col min="5" max="5" width="10.6640625" customWidth="1" collapsed="1"/>
    <col min="6" max="9" width="10.6640625" customWidth="1"/>
    <col min="11" max="11" width="10" bestFit="1" customWidth="1"/>
  </cols>
  <sheetData>
    <row r="1" spans="1:11" ht="10.15" x14ac:dyDescent="0.2">
      <c r="G1" t="s">
        <v>243</v>
      </c>
      <c r="I1" s="59">
        <v>45616</v>
      </c>
    </row>
    <row r="2" spans="1:11" s="1" customFormat="1" ht="10.15" x14ac:dyDescent="0.2">
      <c r="B2" s="1" t="s">
        <v>0</v>
      </c>
      <c r="I2" s="59">
        <f ca="1">+TODAY()</f>
        <v>45796</v>
      </c>
    </row>
    <row r="3" spans="1:11" s="2" customFormat="1" ht="10.15" x14ac:dyDescent="0.2">
      <c r="B3" s="2" t="s">
        <v>575</v>
      </c>
    </row>
    <row r="4" spans="1:11" s="1" customFormat="1" ht="10.15" x14ac:dyDescent="0.2">
      <c r="B4" s="3" t="s">
        <v>108</v>
      </c>
    </row>
    <row r="5" spans="1:11" s="1" customFormat="1" ht="10.15" x14ac:dyDescent="0.2"/>
    <row r="6" spans="1:11" ht="10.15" x14ac:dyDescent="0.2">
      <c r="E6" s="8" t="s">
        <v>574</v>
      </c>
      <c r="F6" s="8"/>
      <c r="G6" s="8"/>
      <c r="H6" s="210" t="s">
        <v>361</v>
      </c>
      <c r="I6" s="8"/>
    </row>
    <row r="7" spans="1:11" ht="12" x14ac:dyDescent="0.35">
      <c r="D7" s="7" t="s">
        <v>48</v>
      </c>
      <c r="E7" s="7" t="s">
        <v>360</v>
      </c>
      <c r="F7" s="7" t="s">
        <v>450</v>
      </c>
      <c r="G7" s="7" t="s">
        <v>451</v>
      </c>
      <c r="H7" s="162" t="s">
        <v>450</v>
      </c>
      <c r="I7" s="162" t="s">
        <v>451</v>
      </c>
    </row>
    <row r="9" spans="1:11" ht="10.15" x14ac:dyDescent="0.2">
      <c r="A9" t="s">
        <v>245</v>
      </c>
      <c r="B9" t="s">
        <v>225</v>
      </c>
      <c r="D9" s="160">
        <f>+'Historical Financials'!AD12</f>
        <v>39687.678</v>
      </c>
      <c r="E9" s="160">
        <f>+'Historical Financials'!AH12</f>
        <v>49351.021999999997</v>
      </c>
      <c r="F9" s="11">
        <v>48156.01129980883</v>
      </c>
      <c r="G9" s="212">
        <f>_xll.VAData("PDD_US",G$1,$A9,"consensus.vaactuals","CD","IMPL",$I$1)</f>
        <v>49496.686366141985</v>
      </c>
      <c r="H9" s="165">
        <f t="shared" ref="H9:I13" si="0">+IFERROR($E9/F9-1,"n/a")</f>
        <v>2.4815400360949535E-2</v>
      </c>
      <c r="I9" s="165">
        <f t="shared" si="0"/>
        <v>-2.942911472183507E-3</v>
      </c>
      <c r="K9" s="211">
        <f>_xll.VAData("PDD_US",G$1,$A9,"consensus.vaactuals","CD","IMPL",$I$1)</f>
        <v>49496.686366141985</v>
      </c>
    </row>
    <row r="10" spans="1:11" ht="12" x14ac:dyDescent="0.35">
      <c r="A10" t="s">
        <v>246</v>
      </c>
      <c r="B10" t="s">
        <v>226</v>
      </c>
      <c r="D10" s="161">
        <f>+'Historical Financials'!AD13</f>
        <v>29152.692999999999</v>
      </c>
      <c r="E10" s="161">
        <f>+'Historical Financials'!AH13</f>
        <v>50003.379000000001</v>
      </c>
      <c r="F10" s="13">
        <v>49469.313014483188</v>
      </c>
      <c r="G10" s="15">
        <f>+G11-G9</f>
        <v>52128.610433122034</v>
      </c>
      <c r="H10" s="166">
        <f t="shared" si="0"/>
        <v>1.0795904632038278E-2</v>
      </c>
      <c r="I10" s="166">
        <f t="shared" si="0"/>
        <v>-4.0769002194074977E-2</v>
      </c>
    </row>
    <row r="11" spans="1:11" ht="10.15" x14ac:dyDescent="0.2">
      <c r="B11" s="4" t="s">
        <v>223</v>
      </c>
      <c r="D11" s="14">
        <f>SUM(D9:D10)</f>
        <v>68840.370999999999</v>
      </c>
      <c r="E11" s="14">
        <f>SUM(E9:E10)</f>
        <v>99354.400999999998</v>
      </c>
      <c r="F11" s="14">
        <f>SUM(F9:F10)</f>
        <v>97625.324314292026</v>
      </c>
      <c r="G11" s="14">
        <f>+G13-G12</f>
        <v>101625.29679926402</v>
      </c>
      <c r="H11" s="165">
        <f t="shared" si="0"/>
        <v>1.7711354075930386E-2</v>
      </c>
      <c r="I11" s="165">
        <f t="shared" si="0"/>
        <v>-2.2345772861550595E-2</v>
      </c>
    </row>
    <row r="12" spans="1:11" ht="12" x14ac:dyDescent="0.35">
      <c r="B12" t="s">
        <v>222</v>
      </c>
      <c r="D12" s="161">
        <f>+'Historical Financials'!AD15</f>
        <v>0</v>
      </c>
      <c r="E12" s="161">
        <f>+'Historical Financials'!AH15</f>
        <v>0</v>
      </c>
      <c r="F12" s="13">
        <v>0</v>
      </c>
      <c r="G12" s="13">
        <v>0</v>
      </c>
      <c r="H12" s="166" t="str">
        <f t="shared" si="0"/>
        <v>n/a</v>
      </c>
      <c r="I12" s="166" t="str">
        <f t="shared" si="0"/>
        <v>n/a</v>
      </c>
    </row>
    <row r="13" spans="1:11" ht="10.15" x14ac:dyDescent="0.2">
      <c r="A13" s="1" t="s">
        <v>72</v>
      </c>
      <c r="B13" s="4" t="s">
        <v>224</v>
      </c>
      <c r="D13" s="14">
        <f>+SUM(D11:D12)</f>
        <v>68840.370999999999</v>
      </c>
      <c r="E13" s="14">
        <f>+SUM(E11:E12)</f>
        <v>99354.400999999998</v>
      </c>
      <c r="F13" s="14">
        <f>+SUM(F11:F12)</f>
        <v>97625.324314292026</v>
      </c>
      <c r="G13" s="212">
        <f>_xll.VAData("PDD_US",G$1,$A13,"consensus.vaactuals","CD","IMPL",$I$1)</f>
        <v>101625.29679926402</v>
      </c>
      <c r="H13" s="165">
        <f t="shared" si="0"/>
        <v>1.7711354075930386E-2</v>
      </c>
      <c r="I13" s="165">
        <f t="shared" si="0"/>
        <v>-2.2345772861550595E-2</v>
      </c>
    </row>
    <row r="14" spans="1:11" ht="10.15" x14ac:dyDescent="0.2">
      <c r="B14" s="4"/>
      <c r="H14" s="167"/>
      <c r="I14" s="167"/>
    </row>
    <row r="15" spans="1:11" ht="10.15" x14ac:dyDescent="0.2">
      <c r="B15" s="19" t="s">
        <v>85</v>
      </c>
      <c r="H15" s="167"/>
      <c r="I15" s="167"/>
    </row>
    <row r="16" spans="1:11" ht="10.15" x14ac:dyDescent="0.2">
      <c r="B16" s="20" t="s">
        <v>225</v>
      </c>
      <c r="E16" s="28">
        <f>+IFERROR(E9/$D9-1,"n/a")</f>
        <v>0.24348474103221651</v>
      </c>
      <c r="F16" s="28">
        <f>+IFERROR(F9/$D9-1,"n/a")</f>
        <v>0.21337437024682648</v>
      </c>
      <c r="G16" s="28">
        <f>+IFERROR(G9/$D9-1,"n/a")</f>
        <v>0.24715500781229838</v>
      </c>
      <c r="H16" s="167"/>
      <c r="I16" s="167"/>
    </row>
    <row r="17" spans="1:9" ht="12" x14ac:dyDescent="0.35">
      <c r="B17" s="20" t="s">
        <v>226</v>
      </c>
      <c r="E17" s="31">
        <f t="shared" ref="E17:F20" si="1">+IFERROR(E10/$D10-1,"n/a")</f>
        <v>0.71522332430832392</v>
      </c>
      <c r="F17" s="31">
        <f t="shared" si="1"/>
        <v>0.69690371364604942</v>
      </c>
      <c r="G17" s="31">
        <f t="shared" ref="G17" si="2">+IFERROR(G10/$D10-1,"n/a")</f>
        <v>0.78812332819894326</v>
      </c>
      <c r="H17" s="167"/>
      <c r="I17" s="167"/>
    </row>
    <row r="18" spans="1:9" ht="10.15" x14ac:dyDescent="0.2">
      <c r="B18" s="30" t="s">
        <v>223</v>
      </c>
      <c r="E18" s="28">
        <f t="shared" si="1"/>
        <v>0.44325777965374424</v>
      </c>
      <c r="F18" s="28">
        <f t="shared" si="1"/>
        <v>0.41814058954290112</v>
      </c>
      <c r="G18" s="28">
        <f t="shared" ref="G18" si="3">+IFERROR(G11/$D11-1,"n/a")</f>
        <v>0.47624562917105751</v>
      </c>
      <c r="H18" s="167"/>
      <c r="I18" s="167"/>
    </row>
    <row r="19" spans="1:9" ht="12" x14ac:dyDescent="0.35">
      <c r="B19" s="20" t="s">
        <v>222</v>
      </c>
      <c r="E19" s="47" t="str">
        <f t="shared" si="1"/>
        <v>n/a</v>
      </c>
      <c r="F19" s="47" t="str">
        <f t="shared" si="1"/>
        <v>n/a</v>
      </c>
      <c r="G19" s="47" t="str">
        <f t="shared" ref="G19" si="4">+IFERROR(G12/$D12-1,"n/a")</f>
        <v>n/a</v>
      </c>
      <c r="H19" s="167"/>
      <c r="I19" s="167"/>
    </row>
    <row r="20" spans="1:9" ht="10.15" x14ac:dyDescent="0.2">
      <c r="B20" s="30" t="s">
        <v>224</v>
      </c>
      <c r="E20" s="28">
        <f t="shared" si="1"/>
        <v>0.44325777965374424</v>
      </c>
      <c r="F20" s="28">
        <f t="shared" si="1"/>
        <v>0.41814058954290112</v>
      </c>
      <c r="G20" s="28">
        <f t="shared" ref="G20" si="5">+IFERROR(G13/$D13-1,"n/a")</f>
        <v>0.47624562917105751</v>
      </c>
      <c r="H20" s="167"/>
      <c r="I20" s="167"/>
    </row>
    <row r="21" spans="1:9" ht="10.15" x14ac:dyDescent="0.2">
      <c r="B21" s="4"/>
      <c r="H21" s="167"/>
      <c r="I21" s="167"/>
    </row>
    <row r="22" spans="1:9" ht="10.15" x14ac:dyDescent="0.2">
      <c r="A22" t="s">
        <v>452</v>
      </c>
      <c r="B22" t="s">
        <v>93</v>
      </c>
      <c r="D22" s="160">
        <f>+'Historical Financials'!AD61</f>
        <v>18125.839999999997</v>
      </c>
      <c r="E22" s="160">
        <f>+'Historical Financials'!AH61</f>
        <v>26770.462999999996</v>
      </c>
      <c r="F22" s="11">
        <v>26592.437180644643</v>
      </c>
      <c r="G22" s="212">
        <f>_xll.VAData("PDD_US",G$1,$A22,"consensus.vaactuals","CD","IMPL",$I$1)</f>
        <v>30961.139398283809</v>
      </c>
      <c r="H22" s="165">
        <f>+IFERROR($E22/F22-1,"n/a")</f>
        <v>6.6946033620765011E-3</v>
      </c>
      <c r="I22" s="165">
        <f>+IFERROR($E22/G22-1,"n/a")</f>
        <v>-0.13535278351274449</v>
      </c>
    </row>
    <row r="23" spans="1:9" ht="10.15" x14ac:dyDescent="0.2">
      <c r="B23" s="20" t="s">
        <v>85</v>
      </c>
      <c r="E23" s="28">
        <f>+IFERROR(E22/$D22-1,"n/a")</f>
        <v>0.47692261434504557</v>
      </c>
      <c r="F23" s="28">
        <f>+IFERROR(F22/$D22-1,"n/a")</f>
        <v>0.46710095535680818</v>
      </c>
      <c r="G23" s="28">
        <f>+IFERROR(G22/$D22-1,"n/a")</f>
        <v>0.70812163178555121</v>
      </c>
      <c r="H23" s="167"/>
      <c r="I23" s="167"/>
    </row>
    <row r="24" spans="1:9" ht="10.15" x14ac:dyDescent="0.2">
      <c r="B24" s="20" t="s">
        <v>87</v>
      </c>
      <c r="D24" s="29">
        <f>+D22/D13</f>
        <v>0.26330247406714291</v>
      </c>
      <c r="E24" s="29">
        <f>+E22/E13</f>
        <v>0.26944415879473721</v>
      </c>
      <c r="F24" s="29">
        <f>+F22/F13</f>
        <v>0.27239281782085306</v>
      </c>
      <c r="G24" s="29">
        <f>+G22/G13</f>
        <v>0.30465976851649434</v>
      </c>
      <c r="H24" s="167"/>
      <c r="I24" s="167"/>
    </row>
    <row r="25" spans="1:9" ht="10.15" x14ac:dyDescent="0.2">
      <c r="H25" s="167"/>
      <c r="I25" s="167"/>
    </row>
    <row r="26" spans="1:9" ht="10.15" x14ac:dyDescent="0.2">
      <c r="A26" t="s">
        <v>69</v>
      </c>
      <c r="B26" t="s">
        <v>95</v>
      </c>
      <c r="D26" s="160">
        <f>+'Historical Financials'!AD73</f>
        <v>16656.020999999997</v>
      </c>
      <c r="E26" s="160">
        <f>+'Historical Financials'!AH73</f>
        <v>24292.457999999995</v>
      </c>
      <c r="F26" s="11">
        <v>24169.675180644645</v>
      </c>
      <c r="G26" s="212">
        <f>G22-_xll.VAData("PDD_US",G$1,$A26,"consensus.vaactuals","CD","IMPL",$I$1)</f>
        <v>28561.329045512997</v>
      </c>
      <c r="H26" s="165">
        <f>+IFERROR($E26/F26-1,"n/a")</f>
        <v>5.0800359722531496E-3</v>
      </c>
      <c r="I26" s="165">
        <f>+IFERROR($E26/G26-1,"n/a")</f>
        <v>-0.14946331939632351</v>
      </c>
    </row>
    <row r="27" spans="1:9" ht="10.15" x14ac:dyDescent="0.2">
      <c r="B27" s="20" t="s">
        <v>85</v>
      </c>
      <c r="E27" s="28">
        <f>+IFERROR(E26/$D26-1,"n/a")</f>
        <v>0.45847906892048229</v>
      </c>
      <c r="F27" s="28">
        <f>+IFERROR(F26/$D26-1,"n/a")</f>
        <v>0.45110739117371734</v>
      </c>
      <c r="G27" s="28">
        <f>+IFERROR(G26/$D26-1,"n/a")</f>
        <v>0.71477503813864085</v>
      </c>
      <c r="H27" s="167"/>
      <c r="I27" s="167"/>
    </row>
    <row r="28" spans="1:9" ht="10.15" x14ac:dyDescent="0.2">
      <c r="B28" s="20" t="s">
        <v>87</v>
      </c>
      <c r="D28" s="29">
        <f>+D26/D13</f>
        <v>0.24195135438767459</v>
      </c>
      <c r="E28" s="29">
        <f>+E26/E13</f>
        <v>0.24450308950078614</v>
      </c>
      <c r="F28" s="29">
        <f>+F26/F13</f>
        <v>0.24757587593597663</v>
      </c>
      <c r="G28" s="29">
        <f>+G26/G13</f>
        <v>0.28104546746789766</v>
      </c>
      <c r="H28" s="167"/>
      <c r="I28" s="167"/>
    </row>
  </sheetData>
  <phoneticPr fontId="4" type="noConversion"/>
  <pageMargins left="0.3" right="0.3" top="0.3" bottom="0.3" header="0.3" footer="0.3"/>
  <pageSetup orientation="portrait" horizontalDpi="1200" verticalDpi="1200" r:id="rId1"/>
  <headerFoot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71F9A-4BEF-4D5E-922D-FA4762B7FC00}">
  <sheetPr>
    <pageSetUpPr fitToPage="1"/>
  </sheetPr>
  <dimension ref="B2:J48"/>
  <sheetViews>
    <sheetView view="pageBreakPreview" zoomScaleNormal="100" zoomScaleSheetLayoutView="100" workbookViewId="0">
      <selection activeCell="L13" sqref="L13"/>
    </sheetView>
  </sheetViews>
  <sheetFormatPr defaultRowHeight="11.25" x14ac:dyDescent="0.2"/>
  <cols>
    <col min="1" max="1" width="2.83203125" customWidth="1"/>
    <col min="2" max="2" width="50.83203125" customWidth="1"/>
    <col min="3" max="9" width="15.83203125" customWidth="1"/>
  </cols>
  <sheetData>
    <row r="2" spans="2:8" ht="10.15" x14ac:dyDescent="0.2">
      <c r="B2" s="1" t="s">
        <v>0</v>
      </c>
      <c r="H2" s="59">
        <f ca="1">TODAY()</f>
        <v>45796</v>
      </c>
    </row>
    <row r="3" spans="2:8" s="2" customFormat="1" ht="10.15" x14ac:dyDescent="0.2">
      <c r="B3" s="2" t="s">
        <v>532</v>
      </c>
    </row>
    <row r="4" spans="2:8" ht="10.15" x14ac:dyDescent="0.2">
      <c r="B4" s="3" t="s">
        <v>533</v>
      </c>
    </row>
    <row r="5" spans="2:8" ht="10.15" x14ac:dyDescent="0.2">
      <c r="E5" s="8" t="s">
        <v>534</v>
      </c>
      <c r="F5" s="9"/>
      <c r="G5" s="8" t="s">
        <v>535</v>
      </c>
      <c r="H5" s="9"/>
    </row>
    <row r="6" spans="2:8" ht="27.6" x14ac:dyDescent="0.35">
      <c r="B6" s="3" t="s">
        <v>536</v>
      </c>
      <c r="C6" s="253" t="s">
        <v>537</v>
      </c>
      <c r="D6" s="253" t="s">
        <v>537</v>
      </c>
      <c r="E6" s="254" t="s">
        <v>538</v>
      </c>
      <c r="F6" s="253" t="s">
        <v>565</v>
      </c>
      <c r="G6" s="254" t="s">
        <v>538</v>
      </c>
      <c r="H6" s="253" t="s">
        <v>565</v>
      </c>
    </row>
    <row r="7" spans="2:8" ht="10.15" x14ac:dyDescent="0.2">
      <c r="C7" s="255" t="s">
        <v>539</v>
      </c>
      <c r="D7" s="255" t="s">
        <v>540</v>
      </c>
      <c r="E7" s="255" t="s">
        <v>540</v>
      </c>
      <c r="F7" s="255" t="s">
        <v>541</v>
      </c>
      <c r="G7" s="255" t="s">
        <v>540</v>
      </c>
      <c r="H7" s="255" t="s">
        <v>541</v>
      </c>
    </row>
    <row r="8" spans="2:8" ht="10.15" x14ac:dyDescent="0.2">
      <c r="C8" s="255"/>
    </row>
    <row r="9" spans="2:8" ht="10.15" x14ac:dyDescent="0.2">
      <c r="B9" s="24" t="s">
        <v>542</v>
      </c>
      <c r="C9" s="255"/>
    </row>
    <row r="10" spans="2:8" ht="12" x14ac:dyDescent="0.35">
      <c r="B10" t="s">
        <v>542</v>
      </c>
      <c r="C10" s="23" t="s">
        <v>64</v>
      </c>
      <c r="D10" s="23">
        <v>193149865</v>
      </c>
      <c r="E10" s="23">
        <f>193146679+70</f>
        <v>193146749</v>
      </c>
      <c r="F10" s="36">
        <f>+IFERROR(D10-E10,"n/a")</f>
        <v>3116</v>
      </c>
      <c r="G10" s="25">
        <f>+E10</f>
        <v>193146749</v>
      </c>
      <c r="H10" s="25">
        <f>+F10</f>
        <v>3116</v>
      </c>
    </row>
    <row r="11" spans="2:8" s="1" customFormat="1" ht="10.15" x14ac:dyDescent="0.2">
      <c r="B11" s="38" t="s">
        <v>542</v>
      </c>
      <c r="C11" s="41" t="str">
        <f>+C10</f>
        <v>n/a</v>
      </c>
      <c r="D11" s="41">
        <f>+D10</f>
        <v>193149865</v>
      </c>
      <c r="E11" s="41">
        <f>+E10</f>
        <v>193146749</v>
      </c>
      <c r="F11" s="49">
        <f>+IFERROR(D11-E11,"n/a")</f>
        <v>3116</v>
      </c>
      <c r="G11" s="42">
        <f>+E11</f>
        <v>193146749</v>
      </c>
      <c r="H11" s="42">
        <f>+F11</f>
        <v>3116</v>
      </c>
    </row>
    <row r="12" spans="2:8" ht="10.15" x14ac:dyDescent="0.2">
      <c r="C12" s="255"/>
    </row>
    <row r="13" spans="2:8" ht="10.15" x14ac:dyDescent="0.2">
      <c r="B13" s="24" t="s">
        <v>543</v>
      </c>
      <c r="C13" s="255"/>
    </row>
    <row r="14" spans="2:8" ht="12" x14ac:dyDescent="0.35">
      <c r="B14" t="s">
        <v>544</v>
      </c>
      <c r="C14" s="23">
        <v>1364738</v>
      </c>
      <c r="D14" s="23">
        <v>1391393</v>
      </c>
      <c r="E14" s="23">
        <f>63973+2000+2955+1317391</f>
        <v>1386319</v>
      </c>
      <c r="F14" s="36">
        <f>+IFERROR(D14-E14,"n/a")</f>
        <v>5074</v>
      </c>
      <c r="G14" s="25">
        <f>+E14</f>
        <v>1386319</v>
      </c>
      <c r="H14" s="25">
        <f>+F14</f>
        <v>5074</v>
      </c>
    </row>
    <row r="15" spans="2:8" s="1" customFormat="1" ht="10.15" x14ac:dyDescent="0.2">
      <c r="B15" s="38" t="s">
        <v>543</v>
      </c>
      <c r="C15" s="41">
        <f>+C14</f>
        <v>1364738</v>
      </c>
      <c r="D15" s="41">
        <f>+D14</f>
        <v>1391393</v>
      </c>
      <c r="E15" s="41">
        <f>+E14</f>
        <v>1386319</v>
      </c>
      <c r="F15" s="49">
        <f>+IFERROR(D15-E15,"n/a")</f>
        <v>5074</v>
      </c>
      <c r="G15" s="42">
        <f>+E15</f>
        <v>1386319</v>
      </c>
      <c r="H15" s="42">
        <f>+F15</f>
        <v>5074</v>
      </c>
    </row>
    <row r="16" spans="2:8" ht="10.15" x14ac:dyDescent="0.2">
      <c r="C16" s="255"/>
    </row>
    <row r="17" spans="2:8" ht="10.15" x14ac:dyDescent="0.2">
      <c r="B17" s="24" t="s">
        <v>545</v>
      </c>
      <c r="C17" s="255"/>
    </row>
    <row r="18" spans="2:8" ht="10.15" x14ac:dyDescent="0.2">
      <c r="B18" t="s">
        <v>546</v>
      </c>
      <c r="C18" s="12">
        <v>899554</v>
      </c>
      <c r="D18" s="58">
        <f>+C18</f>
        <v>899554</v>
      </c>
      <c r="E18" s="12" t="s">
        <v>64</v>
      </c>
      <c r="F18" s="17" t="str">
        <f>+IFERROR(D18-E18,"n/a")</f>
        <v>n/a</v>
      </c>
      <c r="G18" s="37" t="str">
        <f t="shared" ref="G18:H21" si="0">+E18</f>
        <v>n/a</v>
      </c>
      <c r="H18" s="37" t="str">
        <f t="shared" si="0"/>
        <v>n/a</v>
      </c>
    </row>
    <row r="19" spans="2:8" ht="10.15" x14ac:dyDescent="0.2">
      <c r="B19" t="s">
        <v>547</v>
      </c>
      <c r="C19" s="12">
        <v>210588375</v>
      </c>
      <c r="D19" s="58">
        <f>+C19</f>
        <v>210588375</v>
      </c>
      <c r="E19" s="12" t="s">
        <v>64</v>
      </c>
      <c r="F19" s="17" t="str">
        <f t="shared" ref="F19:F21" si="1">+IFERROR(D19-E19,"n/a")</f>
        <v>n/a</v>
      </c>
      <c r="G19" s="37" t="str">
        <f t="shared" si="0"/>
        <v>n/a</v>
      </c>
      <c r="H19" s="37" t="str">
        <f t="shared" si="0"/>
        <v>n/a</v>
      </c>
    </row>
    <row r="20" spans="2:8" ht="12" x14ac:dyDescent="0.35">
      <c r="B20" t="s">
        <v>548</v>
      </c>
      <c r="C20" s="54">
        <v>0</v>
      </c>
      <c r="D20" s="25">
        <f>+D21-SUM(D18:D19)</f>
        <v>1721620</v>
      </c>
      <c r="E20" s="23" t="s">
        <v>64</v>
      </c>
      <c r="F20" s="36" t="str">
        <f t="shared" si="1"/>
        <v>n/a</v>
      </c>
      <c r="G20" s="35" t="str">
        <f t="shared" si="0"/>
        <v>n/a</v>
      </c>
      <c r="H20" s="35" t="str">
        <f t="shared" si="0"/>
        <v>n/a</v>
      </c>
    </row>
    <row r="21" spans="2:8" ht="10.15" x14ac:dyDescent="0.2">
      <c r="B21" s="38" t="s">
        <v>545</v>
      </c>
      <c r="C21" s="42">
        <f>SUM(C18:C20)</f>
        <v>211487929</v>
      </c>
      <c r="D21" s="40">
        <v>213209549</v>
      </c>
      <c r="E21" s="40">
        <f>1070678+8285690+69254862</f>
        <v>78611230</v>
      </c>
      <c r="F21" s="49">
        <f t="shared" si="1"/>
        <v>134598319</v>
      </c>
      <c r="G21" s="42">
        <f t="shared" si="0"/>
        <v>78611230</v>
      </c>
      <c r="H21" s="42">
        <f t="shared" si="0"/>
        <v>134598319</v>
      </c>
    </row>
    <row r="22" spans="2:8" ht="10.15" x14ac:dyDescent="0.2">
      <c r="B22" s="38"/>
      <c r="C22" s="10"/>
      <c r="D22" s="12"/>
      <c r="E22" s="12"/>
      <c r="F22" s="17"/>
    </row>
    <row r="23" spans="2:8" ht="10.15" x14ac:dyDescent="0.2">
      <c r="B23" s="24" t="s">
        <v>549</v>
      </c>
      <c r="C23" s="10"/>
      <c r="D23" s="12"/>
      <c r="E23" s="12"/>
      <c r="F23" s="17"/>
    </row>
    <row r="24" spans="2:8" ht="11.45" x14ac:dyDescent="0.2">
      <c r="B24" t="s">
        <v>550</v>
      </c>
      <c r="C24" s="12">
        <v>5008389</v>
      </c>
      <c r="D24" s="58">
        <f>+C24</f>
        <v>5008389</v>
      </c>
      <c r="E24" s="12" t="s">
        <v>64</v>
      </c>
      <c r="F24" s="17" t="str">
        <f>+IFERROR(D24-E24,"n/a")</f>
        <v>n/a</v>
      </c>
      <c r="G24" s="12" t="s">
        <v>64</v>
      </c>
      <c r="H24" s="17" t="str">
        <f>+IFERROR(D24-G24,"n/a")</f>
        <v>n/a</v>
      </c>
    </row>
    <row r="25" spans="2:8" ht="10.15" x14ac:dyDescent="0.2">
      <c r="B25" t="s">
        <v>551</v>
      </c>
      <c r="C25" s="12">
        <v>90976577</v>
      </c>
      <c r="D25" s="58">
        <f t="shared" ref="D25:D26" si="2">+C25</f>
        <v>90976577</v>
      </c>
      <c r="E25" s="12" t="s">
        <v>64</v>
      </c>
      <c r="F25" s="17" t="str">
        <f t="shared" ref="F25:F34" si="3">+IFERROR(D25-E25,"n/a")</f>
        <v>n/a</v>
      </c>
      <c r="G25" s="12" t="s">
        <v>64</v>
      </c>
      <c r="H25" s="17" t="str">
        <f t="shared" ref="H25:H34" si="4">+IFERROR(D25-G25,"n/a")</f>
        <v>n/a</v>
      </c>
    </row>
    <row r="26" spans="2:8" ht="12" x14ac:dyDescent="0.35">
      <c r="B26" t="s">
        <v>552</v>
      </c>
      <c r="C26" s="23">
        <v>31738835</v>
      </c>
      <c r="D26" s="54">
        <f t="shared" si="2"/>
        <v>31738835</v>
      </c>
      <c r="E26" s="23" t="s">
        <v>64</v>
      </c>
      <c r="F26" s="36" t="str">
        <f t="shared" si="3"/>
        <v>n/a</v>
      </c>
      <c r="G26" s="23" t="s">
        <v>64</v>
      </c>
      <c r="H26" s="36" t="str">
        <f t="shared" si="4"/>
        <v>n/a</v>
      </c>
    </row>
    <row r="27" spans="2:8" ht="10.15" x14ac:dyDescent="0.2">
      <c r="B27" s="4" t="s">
        <v>553</v>
      </c>
      <c r="C27" s="17">
        <f>SUM(C24:C26)</f>
        <v>127723801</v>
      </c>
      <c r="D27" s="10">
        <f>SUM(D24:D26)</f>
        <v>127723801</v>
      </c>
      <c r="E27" s="10">
        <f>+IFERROR(E34-E33,"n/a")</f>
        <v>0</v>
      </c>
      <c r="F27" s="17">
        <f t="shared" si="3"/>
        <v>127723801</v>
      </c>
      <c r="G27" s="10">
        <f>+IFERROR(G34-G33,"n/a")</f>
        <v>76306914</v>
      </c>
      <c r="H27" s="17">
        <f t="shared" si="4"/>
        <v>51416887</v>
      </c>
    </row>
    <row r="28" spans="2:8" ht="10.15" x14ac:dyDescent="0.2">
      <c r="B28" t="s">
        <v>554</v>
      </c>
      <c r="C28" s="12" t="s">
        <v>64</v>
      </c>
      <c r="D28" s="12" t="s">
        <v>64</v>
      </c>
      <c r="E28" s="12" t="s">
        <v>64</v>
      </c>
      <c r="F28" s="17" t="str">
        <f t="shared" si="3"/>
        <v>n/a</v>
      </c>
      <c r="G28" s="12" t="s">
        <v>64</v>
      </c>
      <c r="H28" s="17" t="str">
        <f t="shared" si="4"/>
        <v>n/a</v>
      </c>
    </row>
    <row r="29" spans="2:8" ht="10.15" x14ac:dyDescent="0.2">
      <c r="B29" t="s">
        <v>555</v>
      </c>
      <c r="C29" s="12" t="s">
        <v>64</v>
      </c>
      <c r="D29" s="12" t="s">
        <v>64</v>
      </c>
      <c r="E29" s="12" t="s">
        <v>64</v>
      </c>
      <c r="F29" s="17" t="str">
        <f t="shared" si="3"/>
        <v>n/a</v>
      </c>
      <c r="G29" s="12" t="s">
        <v>64</v>
      </c>
      <c r="H29" s="17" t="str">
        <f t="shared" si="4"/>
        <v>n/a</v>
      </c>
    </row>
    <row r="30" spans="2:8" ht="10.15" x14ac:dyDescent="0.2">
      <c r="B30" t="s">
        <v>556</v>
      </c>
      <c r="C30" s="12" t="s">
        <v>64</v>
      </c>
      <c r="D30" s="12" t="s">
        <v>64</v>
      </c>
      <c r="E30" s="12" t="s">
        <v>64</v>
      </c>
      <c r="F30" s="17" t="str">
        <f t="shared" si="3"/>
        <v>n/a</v>
      </c>
      <c r="G30" s="12" t="s">
        <v>64</v>
      </c>
      <c r="H30" s="17" t="str">
        <f t="shared" si="4"/>
        <v>n/a</v>
      </c>
    </row>
    <row r="31" spans="2:8" ht="10.15" x14ac:dyDescent="0.2">
      <c r="B31" t="s">
        <v>557</v>
      </c>
      <c r="C31" s="12" t="s">
        <v>64</v>
      </c>
      <c r="D31" s="12" t="s">
        <v>64</v>
      </c>
      <c r="E31" s="12" t="s">
        <v>64</v>
      </c>
      <c r="F31" s="17" t="str">
        <f t="shared" si="3"/>
        <v>n/a</v>
      </c>
      <c r="G31" s="12" t="s">
        <v>64</v>
      </c>
      <c r="H31" s="17" t="str">
        <f t="shared" si="4"/>
        <v>n/a</v>
      </c>
    </row>
    <row r="32" spans="2:8" ht="12" x14ac:dyDescent="0.35">
      <c r="B32" t="s">
        <v>558</v>
      </c>
      <c r="C32" s="23" t="s">
        <v>64</v>
      </c>
      <c r="D32" s="23" t="s">
        <v>64</v>
      </c>
      <c r="E32" s="23" t="s">
        <v>64</v>
      </c>
      <c r="F32" s="36" t="str">
        <f t="shared" si="3"/>
        <v>n/a</v>
      </c>
      <c r="G32" s="23" t="s">
        <v>64</v>
      </c>
      <c r="H32" s="36" t="str">
        <f t="shared" si="4"/>
        <v>n/a</v>
      </c>
    </row>
    <row r="33" spans="2:10" ht="12" x14ac:dyDescent="0.35">
      <c r="B33" s="4" t="s">
        <v>559</v>
      </c>
      <c r="C33" s="36" t="str">
        <f>+IFERROR(C27+C28+C29+C30+C31+C32,"n/a")</f>
        <v>n/a</v>
      </c>
      <c r="D33" s="25">
        <f>+IFERROR(D34-D27,"n/a")</f>
        <v>141123150</v>
      </c>
      <c r="E33" s="256">
        <f>+E34</f>
        <v>76306914</v>
      </c>
      <c r="F33" s="36">
        <f t="shared" si="3"/>
        <v>64816236</v>
      </c>
      <c r="G33" s="256">
        <v>0</v>
      </c>
      <c r="H33" s="36">
        <f t="shared" si="4"/>
        <v>141123150</v>
      </c>
    </row>
    <row r="34" spans="2:10" ht="10.15" x14ac:dyDescent="0.2">
      <c r="B34" s="43" t="s">
        <v>549</v>
      </c>
      <c r="C34" s="41" t="str">
        <f>+IFERROR(C27+C33,"n/a")</f>
        <v>n/a</v>
      </c>
      <c r="D34" s="40">
        <v>268846951</v>
      </c>
      <c r="E34" s="40">
        <f>4241721+1754436+7266487+63044270</f>
        <v>76306914</v>
      </c>
      <c r="F34" s="49">
        <f t="shared" si="3"/>
        <v>192540037</v>
      </c>
      <c r="G34" s="40">
        <f>4241721+1754436+7266487+63044270</f>
        <v>76306914</v>
      </c>
      <c r="H34" s="49">
        <f t="shared" si="4"/>
        <v>192540037</v>
      </c>
    </row>
    <row r="36" spans="2:10" ht="10.15" x14ac:dyDescent="0.2">
      <c r="B36" s="24" t="s">
        <v>381</v>
      </c>
    </row>
    <row r="37" spans="2:10" ht="10.15" x14ac:dyDescent="0.2">
      <c r="B37" t="s">
        <v>543</v>
      </c>
      <c r="F37" s="10">
        <f>+F15</f>
        <v>5074</v>
      </c>
      <c r="H37" s="10">
        <f>+H15</f>
        <v>5074</v>
      </c>
    </row>
    <row r="38" spans="2:10" ht="10.15" x14ac:dyDescent="0.2">
      <c r="B38" t="s">
        <v>545</v>
      </c>
      <c r="F38" s="10">
        <f>+F21</f>
        <v>134598319</v>
      </c>
      <c r="H38" s="10">
        <f>+H21</f>
        <v>134598319</v>
      </c>
    </row>
    <row r="39" spans="2:10" ht="12" x14ac:dyDescent="0.35">
      <c r="B39" t="s">
        <v>553</v>
      </c>
      <c r="F39" s="25">
        <f>+F27</f>
        <v>127723801</v>
      </c>
      <c r="H39" s="25">
        <f>+H27</f>
        <v>51416887</v>
      </c>
    </row>
    <row r="40" spans="2:10" s="1" customFormat="1" ht="10.15" x14ac:dyDescent="0.2">
      <c r="B40" s="38" t="s">
        <v>560</v>
      </c>
      <c r="F40" s="42">
        <f>SUM(F37:F39)</f>
        <v>262327194</v>
      </c>
      <c r="H40" s="42">
        <f>SUM(H37:H39)</f>
        <v>186020280</v>
      </c>
    </row>
    <row r="41" spans="2:10" ht="10.15" x14ac:dyDescent="0.2">
      <c r="B41" t="s">
        <v>542</v>
      </c>
      <c r="F41" s="10">
        <f>+F11</f>
        <v>3116</v>
      </c>
      <c r="H41" s="10">
        <f>+H11</f>
        <v>3116</v>
      </c>
    </row>
    <row r="42" spans="2:10" ht="12.6" thickBot="1" x14ac:dyDescent="0.4">
      <c r="B42" t="s">
        <v>559</v>
      </c>
      <c r="F42" s="25">
        <f>+F33</f>
        <v>64816236</v>
      </c>
      <c r="H42" s="25">
        <f>+H33</f>
        <v>141123150</v>
      </c>
    </row>
    <row r="43" spans="2:10" ht="12.6" thickBot="1" x14ac:dyDescent="0.4">
      <c r="B43" s="38" t="s">
        <v>561</v>
      </c>
      <c r="F43" s="257">
        <f>+SUM(F41:F42)</f>
        <v>64819352</v>
      </c>
      <c r="G43" s="33"/>
      <c r="H43" s="257">
        <f>+SUM(H41:H42)</f>
        <v>141126266</v>
      </c>
      <c r="I43" s="33"/>
      <c r="J43" s="33"/>
    </row>
    <row r="44" spans="2:10" s="1" customFormat="1" ht="10.15" x14ac:dyDescent="0.2">
      <c r="B44" s="43" t="s">
        <v>562</v>
      </c>
      <c r="F44" s="42">
        <f>+F40+F43</f>
        <v>327146546</v>
      </c>
      <c r="H44" s="42">
        <f>+H40+H43</f>
        <v>327146546</v>
      </c>
    </row>
    <row r="47" spans="2:10" s="190" customFormat="1" ht="10.15" x14ac:dyDescent="0.2">
      <c r="B47" s="2" t="s">
        <v>563</v>
      </c>
    </row>
    <row r="48" spans="2:10" ht="10.15" x14ac:dyDescent="0.2">
      <c r="B48" s="34" t="s">
        <v>564</v>
      </c>
    </row>
  </sheetData>
  <pageMargins left="0.3" right="0.3" top="0.3" bottom="0.3" header="0.3" footer="0.3"/>
  <pageSetup scale="87" orientation="portrait" r:id="rId1"/>
  <headerFooter>
    <oddFooter>Page &amp;P of &amp;N</oddFooter>
  </headerFooter>
  <colBreaks count="1" manualBreakCount="1">
    <brk id="8" max="1048575" man="1"/>
  </col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40B07-E36B-45CA-A751-8750E669AD44}">
  <dimension ref="A2:AD110"/>
  <sheetViews>
    <sheetView view="pageBreakPreview" topLeftCell="A14" zoomScale="85" zoomScaleNormal="100" zoomScaleSheetLayoutView="85" workbookViewId="0">
      <selection activeCell="X60" sqref="X60"/>
    </sheetView>
  </sheetViews>
  <sheetFormatPr defaultRowHeight="11.25" outlineLevelRow="1" outlineLevelCol="1" x14ac:dyDescent="0.2"/>
  <cols>
    <col min="1" max="1" width="2.83203125" customWidth="1"/>
    <col min="2" max="2" width="30.83203125" customWidth="1"/>
    <col min="3" max="3" width="2.83203125" customWidth="1"/>
    <col min="4" max="4" width="9.33203125" hidden="1" customWidth="1" outlineLevel="1"/>
    <col min="5" max="5" width="9.33203125" customWidth="1" collapsed="1"/>
    <col min="6" max="27" width="9.33203125" customWidth="1"/>
  </cols>
  <sheetData>
    <row r="2" spans="2:28" ht="10.15" x14ac:dyDescent="0.2">
      <c r="B2" s="1" t="s">
        <v>0</v>
      </c>
      <c r="AA2" s="59">
        <f ca="1">TODAY()</f>
        <v>45796</v>
      </c>
    </row>
    <row r="3" spans="2:28" s="190" customFormat="1" ht="10.15" x14ac:dyDescent="0.2">
      <c r="B3" s="2" t="s">
        <v>522</v>
      </c>
    </row>
    <row r="4" spans="2:28" ht="10.15" x14ac:dyDescent="0.2">
      <c r="B4" s="3" t="s">
        <v>108</v>
      </c>
    </row>
    <row r="5" spans="2:28" ht="10.15" x14ac:dyDescent="0.2">
      <c r="E5" s="8" t="s">
        <v>59</v>
      </c>
      <c r="F5" s="9"/>
      <c r="G5" s="9"/>
      <c r="H5" s="9"/>
      <c r="I5" s="9"/>
      <c r="J5" s="9"/>
      <c r="K5" s="9"/>
      <c r="L5" s="9"/>
      <c r="M5" s="9"/>
      <c r="N5" s="9"/>
      <c r="O5" s="9"/>
      <c r="P5" s="9"/>
      <c r="Q5" s="9"/>
      <c r="R5" s="9"/>
      <c r="S5" s="9"/>
      <c r="T5" s="9"/>
      <c r="U5" s="9"/>
      <c r="V5" s="9"/>
      <c r="W5" s="9"/>
      <c r="X5" s="9"/>
      <c r="Y5" s="9"/>
      <c r="Z5" s="9"/>
      <c r="AA5" s="9"/>
    </row>
    <row r="6" spans="2:28" ht="12" x14ac:dyDescent="0.35">
      <c r="E6" s="7" t="s">
        <v>30</v>
      </c>
      <c r="F6" s="7" t="s">
        <v>31</v>
      </c>
      <c r="G6" s="7" t="s">
        <v>32</v>
      </c>
      <c r="H6" s="7" t="s">
        <v>33</v>
      </c>
      <c r="I6" s="7" t="s">
        <v>34</v>
      </c>
      <c r="J6" s="7" t="s">
        <v>35</v>
      </c>
      <c r="K6" s="7" t="s">
        <v>36</v>
      </c>
      <c r="L6" s="7" t="s">
        <v>37</v>
      </c>
      <c r="M6" s="7" t="s">
        <v>38</v>
      </c>
      <c r="N6" s="7" t="s">
        <v>39</v>
      </c>
      <c r="O6" s="7" t="s">
        <v>40</v>
      </c>
      <c r="P6" s="7" t="s">
        <v>41</v>
      </c>
      <c r="Q6" s="7" t="s">
        <v>42</v>
      </c>
      <c r="R6" s="7" t="s">
        <v>43</v>
      </c>
      <c r="S6" s="7" t="s">
        <v>44</v>
      </c>
      <c r="T6" s="7" t="s">
        <v>45</v>
      </c>
      <c r="U6" s="7" t="s">
        <v>46</v>
      </c>
      <c r="V6" s="7" t="s">
        <v>47</v>
      </c>
      <c r="W6" s="7" t="s">
        <v>48</v>
      </c>
      <c r="X6" s="7" t="s">
        <v>240</v>
      </c>
      <c r="Y6" s="7" t="s">
        <v>241</v>
      </c>
      <c r="Z6" s="7" t="s">
        <v>242</v>
      </c>
      <c r="AA6" s="7" t="s">
        <v>243</v>
      </c>
    </row>
    <row r="8" spans="2:28" ht="10.15" x14ac:dyDescent="0.2">
      <c r="B8" s="24" t="s">
        <v>523</v>
      </c>
    </row>
    <row r="9" spans="2:28" s="1" customFormat="1" ht="10.15" x14ac:dyDescent="0.2">
      <c r="B9" s="1" t="s">
        <v>523</v>
      </c>
      <c r="E9" s="42">
        <f t="shared" ref="E9:AA9" si="0">+SUM(E43,E45:E46)</f>
        <v>29421.238999999998</v>
      </c>
      <c r="F9" s="42">
        <f t="shared" si="0"/>
        <v>31787.360999999997</v>
      </c>
      <c r="G9" s="42">
        <f t="shared" si="0"/>
        <v>40254.824000000001</v>
      </c>
      <c r="H9" s="42">
        <f t="shared" si="0"/>
        <v>41057.012999999999</v>
      </c>
      <c r="I9" s="42">
        <f t="shared" si="0"/>
        <v>42575.207999999999</v>
      </c>
      <c r="J9" s="42">
        <f t="shared" si="0"/>
        <v>50511.501836525887</v>
      </c>
      <c r="K9" s="42">
        <f t="shared" si="0"/>
        <v>51198.420836525889</v>
      </c>
      <c r="L9" s="42">
        <f t="shared" si="0"/>
        <v>92676.294999999998</v>
      </c>
      <c r="M9" s="42">
        <f t="shared" si="0"/>
        <v>93317.093052954806</v>
      </c>
      <c r="N9" s="42">
        <f t="shared" si="0"/>
        <v>98157.764553577625</v>
      </c>
      <c r="O9" s="42">
        <f t="shared" si="0"/>
        <v>102424.2526026772</v>
      </c>
      <c r="P9" s="42">
        <f t="shared" si="0"/>
        <v>107243.133</v>
      </c>
      <c r="Q9" s="42">
        <f t="shared" si="0"/>
        <v>112050.55984768557</v>
      </c>
      <c r="R9" s="42">
        <f t="shared" si="0"/>
        <v>131332.90510216766</v>
      </c>
      <c r="S9" s="42">
        <f t="shared" si="0"/>
        <v>148965.51715964079</v>
      </c>
      <c r="T9" s="42">
        <f t="shared" si="0"/>
        <v>164054.50300000003</v>
      </c>
      <c r="U9" s="42">
        <f t="shared" si="0"/>
        <v>175954.33568415116</v>
      </c>
      <c r="V9" s="42">
        <f t="shared" si="0"/>
        <v>205253.32906784388</v>
      </c>
      <c r="W9" s="42">
        <f t="shared" si="0"/>
        <v>235069.40553497756</v>
      </c>
      <c r="X9" s="42">
        <f t="shared" si="0"/>
        <v>262811.20799999998</v>
      </c>
      <c r="Y9" s="42">
        <f t="shared" si="0"/>
        <v>295820.08879739215</v>
      </c>
      <c r="Z9" s="42">
        <f t="shared" si="0"/>
        <v>349422.87157849636</v>
      </c>
      <c r="AA9" s="42">
        <f t="shared" si="0"/>
        <v>378810.67547838192</v>
      </c>
    </row>
    <row r="10" spans="2:28" s="1" customFormat="1" ht="10.15" x14ac:dyDescent="0.2">
      <c r="E10" s="42"/>
      <c r="F10" s="42"/>
      <c r="G10" s="42"/>
      <c r="H10" s="42"/>
      <c r="I10" s="42"/>
      <c r="J10" s="42"/>
      <c r="K10" s="42"/>
      <c r="L10" s="42"/>
      <c r="M10" s="42"/>
      <c r="N10" s="42"/>
      <c r="O10" s="42"/>
      <c r="P10" s="42"/>
      <c r="Q10" s="42"/>
      <c r="R10" s="42"/>
      <c r="S10" s="42"/>
      <c r="T10" s="42"/>
      <c r="U10" s="42"/>
      <c r="V10" s="42"/>
      <c r="W10" s="42"/>
      <c r="X10" s="42"/>
      <c r="Y10" s="42"/>
      <c r="Z10" s="42"/>
      <c r="AA10" s="42"/>
    </row>
    <row r="11" spans="2:28" ht="10.15" x14ac:dyDescent="0.2">
      <c r="B11" s="24" t="s">
        <v>525</v>
      </c>
    </row>
    <row r="12" spans="2:28" ht="10.15" outlineLevel="1" x14ac:dyDescent="0.2">
      <c r="B12" s="184" t="s">
        <v>516</v>
      </c>
      <c r="E12" s="232">
        <f>+IF(SUM('Historical Financials'!$AO$775:$AQ$775,'Historical Financials'!$AO$788:$AQ$788,'Historical Financials'!$L775:L775,'Historical Financials'!$L779:L779,'Historical Financials'!$L780:L780,'Historical Financials'!$L782:L782,'Historical Financials'!$L784:L784,'Historical Financials'!$L788:L788)=0,"n/a",IFERROR(SUM('Historical Financials'!$AO$775:$AQ$775,'Historical Financials'!$AO$788:$AQ$788,'Historical Financials'!$L775:L775,'Historical Financials'!$L779:L779,'Historical Financials'!$L780:L780,'Historical Financials'!$L782:L782,'Historical Financials'!$L784:L784,'Historical Financials'!$L788:L788),"n/a"))</f>
        <v>19663.328999999998</v>
      </c>
      <c r="F12" s="232">
        <f>+IF(SUM('Historical Financials'!$AO$775:$AQ$775,'Historical Financials'!$AO$788:$AQ$788,'Historical Financials'!$L775:M775,'Historical Financials'!$L779:M779,'Historical Financials'!$L780:M780,'Historical Financials'!$L782:M782,'Historical Financials'!$L784:M784,'Historical Financials'!$L788:M788)=0,"n/a",IFERROR(SUM('Historical Financials'!$AO$775:$AQ$775,'Historical Financials'!$AO$788:$AQ$788,'Historical Financials'!$L775:M775,'Historical Financials'!$L779:M779,'Historical Financials'!$L780:M780,'Historical Financials'!$L782:M782,'Historical Financials'!$L784:M784,'Historical Financials'!$L788:M788),"n/a"))</f>
        <v>19663.328999999998</v>
      </c>
      <c r="G12" s="232">
        <f>+IF(SUM('Historical Financials'!$AO$775:$AQ$775,'Historical Financials'!$AO$788:$AQ$788,'Historical Financials'!$L775:N775,'Historical Financials'!$L779:N779,'Historical Financials'!$L780:N780,'Historical Financials'!$L782:N782,'Historical Financials'!$L784:N784,'Historical Financials'!$L788:N788)=0,"n/a",IFERROR(SUM('Historical Financials'!$AO$775:$AQ$775,'Historical Financials'!$AO$788:$AQ$788,'Historical Financials'!$L775:N775,'Historical Financials'!$L779:N779,'Historical Financials'!$L780:N780,'Historical Financials'!$L782:N782,'Historical Financials'!$L784:N784,'Historical Financials'!$L788:N788),"n/a"))</f>
        <v>19663.328999999998</v>
      </c>
      <c r="H12" s="232">
        <f>+IF(SUM('Historical Financials'!$AO$775:$AQ$775,'Historical Financials'!$AO$788:$AQ$788,'Historical Financials'!$L775:O775,'Historical Financials'!$L779:O779,'Historical Financials'!$L780:O780,'Historical Financials'!$L782:O782,'Historical Financials'!$L784:O784,'Historical Financials'!$L788:O788)=0,"n/a",IFERROR(SUM('Historical Financials'!$AO$775:$AQ$775,'Historical Financials'!$AO$788:$AQ$788,'Historical Financials'!$L775:O775,'Historical Financials'!$L779:O779,'Historical Financials'!$L780:O780,'Historical Financials'!$L782:O782,'Historical Financials'!$L784:O784,'Historical Financials'!$L788:O788),"n/a"))</f>
        <v>35828.048999999999</v>
      </c>
      <c r="I12" s="232">
        <f>+IF(SUM('Historical Financials'!$AO$775:$AQ$775,'Historical Financials'!$AO$788:$AQ$788,'Historical Financials'!$L775:P775,'Historical Financials'!$L779:P779,'Historical Financials'!$L780:P780,'Historical Financials'!$L782:P782,'Historical Financials'!$L784:P784,'Historical Financials'!$L788:P788)=0,"n/a",IFERROR(SUM('Historical Financials'!$AO$775:$AQ$775,'Historical Financials'!$AO$788:$AQ$788,'Historical Financials'!$L775:P775,'Historical Financials'!$L779:P779,'Historical Financials'!$L780:P780,'Historical Financials'!$L782:P782,'Historical Financials'!$L784:P784,'Historical Financials'!$L788:P788),"n/a"))</f>
        <v>35828.048999999999</v>
      </c>
      <c r="J12" s="232">
        <f>+IF(SUM('Historical Financials'!$AO$775:$AQ$775,'Historical Financials'!$AO$788:$AQ$788,'Historical Financials'!$L775:Q775,'Historical Financials'!$L779:Q779,'Historical Financials'!$L780:Q780,'Historical Financials'!$L782:Q782,'Historical Financials'!$L784:Q784,'Historical Financials'!$L788:Q788)=0,"n/a",IFERROR(SUM('Historical Financials'!$AO$775:$AQ$775,'Historical Financials'!$AO$788:$AQ$788,'Historical Financials'!$L775:Q775,'Historical Financials'!$L779:Q779,'Historical Financials'!$L780:Q780,'Historical Financials'!$L782:Q782,'Historical Financials'!$L784:Q784,'Historical Financials'!$L788:Q788),"n/a"))</f>
        <v>35828.048999999999</v>
      </c>
      <c r="K12" s="232">
        <f>+IF(SUM('Historical Financials'!$AO$775:$AQ$775,'Historical Financials'!$AO$788:$AQ$788,'Historical Financials'!$L775:R775,'Historical Financials'!$L779:R779,'Historical Financials'!$L780:R780,'Historical Financials'!$L782:R782,'Historical Financials'!$L784:R784,'Historical Financials'!$L788:R788)=0,"n/a",IFERROR(SUM('Historical Financials'!$AO$775:$AQ$775,'Historical Financials'!$AO$788:$AQ$788,'Historical Financials'!$L775:R775,'Historical Financials'!$L779:R779,'Historical Financials'!$L780:R780,'Historical Financials'!$L782:R782,'Historical Financials'!$L784:R784,'Historical Financials'!$L788:R788),"n/a"))</f>
        <v>35828.048999999999</v>
      </c>
      <c r="L12" s="232">
        <f>+IF(SUM('Historical Financials'!$AO$775:$AQ$775,'Historical Financials'!$AO$788:$AQ$788,'Historical Financials'!$L775:S775,'Historical Financials'!$L779:S779,'Historical Financials'!$L780:S780,'Historical Financials'!$L782:S782,'Historical Financials'!$L784:S784,'Historical Financials'!$L788:S788)=0,"n/a",IFERROR(SUM('Historical Financials'!$AO$775:$AQ$775,'Historical Financials'!$AO$788:$AQ$788,'Historical Financials'!$L775:S775,'Historical Financials'!$L779:S779,'Historical Financials'!$L780:S780,'Historical Financials'!$L782:S782,'Historical Financials'!$L784:S784,'Historical Financials'!$L788:S788),"n/a"))</f>
        <v>88549.947999999989</v>
      </c>
      <c r="M12" s="232">
        <f>+IF(SUM('Historical Financials'!$AO$775:$AQ$775,'Historical Financials'!$AO$788:$AQ$788,'Historical Financials'!$L775:T775,'Historical Financials'!$L779:T779,'Historical Financials'!$L780:T780,'Historical Financials'!$L782:T782,'Historical Financials'!$L784:T784,'Historical Financials'!$L788:T788)=0,"n/a",IFERROR(SUM('Historical Financials'!$AO$775:$AQ$775,'Historical Financials'!$AO$788:$AQ$788,'Historical Financials'!$L775:T775,'Historical Financials'!$L779:T779,'Historical Financials'!$L780:T780,'Historical Financials'!$L782:T782,'Historical Financials'!$L784:T784,'Historical Financials'!$L788:T788),"n/a"))</f>
        <v>88549.947999999989</v>
      </c>
      <c r="N12" s="232">
        <f>+IF(SUM('Historical Financials'!$AO$775:$AQ$775,'Historical Financials'!$AO$788:$AQ$788,'Historical Financials'!$L775:U775,'Historical Financials'!$L779:U779,'Historical Financials'!$L780:U780,'Historical Financials'!$L782:U782,'Historical Financials'!$L784:U784,'Historical Financials'!$L788:U788)=0,"n/a",IFERROR(SUM('Historical Financials'!$AO$775:$AQ$775,'Historical Financials'!$AO$788:$AQ$788,'Historical Financials'!$L775:U775,'Historical Financials'!$L779:U779,'Historical Financials'!$L780:U780,'Historical Financials'!$L782:U782,'Historical Financials'!$L784:U784,'Historical Financials'!$L788:U788),"n/a"))</f>
        <v>88549.947999999989</v>
      </c>
      <c r="O12" s="232">
        <f>+IF(SUM('Historical Financials'!$AO$775:$AQ$775,'Historical Financials'!$AO$788:$AQ$788,'Historical Financials'!$L775:V775,'Historical Financials'!$L779:V779,'Historical Financials'!$L780:V780,'Historical Financials'!$L782:V782,'Historical Financials'!$L784:V784,'Historical Financials'!$L788:V788)=0,"n/a",IFERROR(SUM('Historical Financials'!$AO$775:$AQ$775,'Historical Financials'!$AO$788:$AQ$788,'Historical Financials'!$L775:V775,'Historical Financials'!$L779:V779,'Historical Financials'!$L780:V780,'Historical Financials'!$L782:V782,'Historical Financials'!$L784:V784,'Historical Financials'!$L788:V788),"n/a"))</f>
        <v>88549.947999999989</v>
      </c>
      <c r="P12" s="232">
        <f>+IF(SUM('Historical Financials'!$AO$775:$AQ$775,'Historical Financials'!$AO$788:$AQ$788,'Historical Financials'!$L775:W775,'Historical Financials'!$L779:W779,'Historical Financials'!$L780:W780,'Historical Financials'!$L782:W782,'Historical Financials'!$L784:W784,'Historical Financials'!$L788:W788)=0,"n/a",IFERROR(SUM('Historical Financials'!$AO$775:$AQ$775,'Historical Financials'!$AO$788:$AQ$788,'Historical Financials'!$L775:W775,'Historical Financials'!$L779:W779,'Historical Financials'!$L780:W780,'Historical Financials'!$L782:W782,'Historical Financials'!$L784:W784,'Historical Financials'!$L788:W788),"n/a"))</f>
        <v>88549.947999999989</v>
      </c>
      <c r="Q12" s="232">
        <f>+IF(SUM('Historical Financials'!$AO$775:$AQ$775,'Historical Financials'!$AO$788:$AQ$788,'Historical Financials'!$L775:X775,'Historical Financials'!$L779:X779,'Historical Financials'!$L780:X780,'Historical Financials'!$L782:X782,'Historical Financials'!$L784:X784,'Historical Financials'!$L788:X788)=0,"n/a",IFERROR(SUM('Historical Financials'!$AO$775:$AQ$775,'Historical Financials'!$AO$788:$AQ$788,'Historical Financials'!$L775:X775,'Historical Financials'!$L779:X779,'Historical Financials'!$L780:X780,'Historical Financials'!$L782:X782,'Historical Financials'!$L784:X784,'Historical Financials'!$L788:X788),"n/a"))</f>
        <v>88549.947999999989</v>
      </c>
      <c r="R12" s="232">
        <f>+IF(SUM('Historical Financials'!$AO$775:$AQ$775,'Historical Financials'!$AO$788:$AQ$788,'Historical Financials'!$L775:Y775,'Historical Financials'!$L779:Y779,'Historical Financials'!$L780:Y780,'Historical Financials'!$L782:Y782,'Historical Financials'!$L784:Y784,'Historical Financials'!$L788:Y788)=0,"n/a",IFERROR(SUM('Historical Financials'!$AO$775:$AQ$775,'Historical Financials'!$AO$788:$AQ$788,'Historical Financials'!$L775:Y775,'Historical Financials'!$L779:Y779,'Historical Financials'!$L780:Y780,'Historical Financials'!$L782:Y782,'Historical Financials'!$L784:Y784,'Historical Financials'!$L788:Y788),"n/a"))</f>
        <v>88549.947999999989</v>
      </c>
      <c r="S12" s="232">
        <f>+IF(SUM('Historical Financials'!$AO$775:$AQ$775,'Historical Financials'!$AO$788:$AQ$788,'Historical Financials'!$L775:Z775,'Historical Financials'!$L779:Z779,'Historical Financials'!$L780:Z780,'Historical Financials'!$L782:Z782,'Historical Financials'!$L784:Z784,'Historical Financials'!$L788:Z788)=0,"n/a",IFERROR(SUM('Historical Financials'!$AO$775:$AQ$775,'Historical Financials'!$AO$788:$AQ$788,'Historical Financials'!$L775:Z775,'Historical Financials'!$L779:Z779,'Historical Financials'!$L780:Z780,'Historical Financials'!$L782:Z782,'Historical Financials'!$L784:Z784,'Historical Financials'!$L788:Z788),"n/a"))</f>
        <v>88549.947999999989</v>
      </c>
      <c r="T12" s="232">
        <f>+IF(SUM('Historical Financials'!$AO$775:$AQ$775,'Historical Financials'!$AO$788:$AQ$788,'Historical Financials'!$L775:AA775,'Historical Financials'!$L779:AA779,'Historical Financials'!$L780:AA780,'Historical Financials'!$L782:AA782,'Historical Financials'!$L784:AA784,'Historical Financials'!$L788:AA788)=0,"n/a",IFERROR(SUM('Historical Financials'!$AO$775:$AQ$775,'Historical Financials'!$AO$788:$AQ$788,'Historical Financials'!$L775:AA775,'Historical Financials'!$L779:AA779,'Historical Financials'!$L780:AA780,'Historical Financials'!$L782:AA782,'Historical Financials'!$L784:AA784,'Historical Financials'!$L788:AA788),"n/a"))</f>
        <v>88549.947999999989</v>
      </c>
      <c r="U12" s="232">
        <f>+IF(SUM('Historical Financials'!$AO$775:$AQ$775,'Historical Financials'!$AO$788:$AQ$788,'Historical Financials'!$L775:AB775,'Historical Financials'!$L779:AB779,'Historical Financials'!$L780:AB780,'Historical Financials'!$L782:AB782,'Historical Financials'!$L784:AB784,'Historical Financials'!$L788:AB788)=0,"n/a",IFERROR(SUM('Historical Financials'!$AO$775:$AQ$775,'Historical Financials'!$AO$788:$AQ$788,'Historical Financials'!$L775:AB775,'Historical Financials'!$L779:AB779,'Historical Financials'!$L780:AB780,'Historical Financials'!$L782:AB782,'Historical Financials'!$L784:AB784,'Historical Financials'!$L788:AB788),"n/a"))</f>
        <v>88549.947999999989</v>
      </c>
      <c r="V12" s="232">
        <f>+IF(SUM('Historical Financials'!$AO$775:$AQ$775,'Historical Financials'!$AO$788:$AQ$788,'Historical Financials'!$L775:AC775,'Historical Financials'!$L779:AC779,'Historical Financials'!$L780:AC780,'Historical Financials'!$L782:AC782,'Historical Financials'!$L784:AC784,'Historical Financials'!$L788:AC788)=0,"n/a",IFERROR(SUM('Historical Financials'!$AO$775:$AQ$775,'Historical Financials'!$AO$788:$AQ$788,'Historical Financials'!$L775:AC775,'Historical Financials'!$L779:AC779,'Historical Financials'!$L780:AC780,'Historical Financials'!$L782:AC782,'Historical Financials'!$L784:AC784,'Historical Financials'!$L788:AC788),"n/a"))</f>
        <v>88549.947999999989</v>
      </c>
      <c r="W12" s="232">
        <f>+IF(SUM('Historical Financials'!$AO$775:$AQ$775,'Historical Financials'!$AO$788:$AQ$788,'Historical Financials'!$L775:AD775,'Historical Financials'!$L779:AD779,'Historical Financials'!$L780:AD780,'Historical Financials'!$L782:AD782,'Historical Financials'!$L784:AD784,'Historical Financials'!$L788:AD788)=0,"n/a",IFERROR(SUM('Historical Financials'!$AO$775:$AQ$775,'Historical Financials'!$AO$788:$AQ$788,'Historical Financials'!$L775:AD775,'Historical Financials'!$L779:AD779,'Historical Financials'!$L780:AD780,'Historical Financials'!$L782:AD782,'Historical Financials'!$L784:AD784,'Historical Financials'!$L788:AD788),"n/a"))</f>
        <v>88549.947999999989</v>
      </c>
      <c r="X12" s="232">
        <f>+IF(SUM('Historical Financials'!$AO$775:$AQ$775,'Historical Financials'!$AO$788:$AQ$788,'Historical Financials'!$L775:AE775,'Historical Financials'!$L779:AE779,'Historical Financials'!$L780:AE780,'Historical Financials'!$L782:AE782,'Historical Financials'!$L784:AE784,'Historical Financials'!$L788:AE788)=0,"n/a",IFERROR(SUM('Historical Financials'!$AO$775:$AQ$775,'Historical Financials'!$AO$788:$AQ$788,'Historical Financials'!$L775:AE775,'Historical Financials'!$L779:AE779,'Historical Financials'!$L780:AE780,'Historical Financials'!$L782:AE782,'Historical Financials'!$L784:AE784,'Historical Financials'!$L788:AE788),"n/a"))</f>
        <v>88549.947999999989</v>
      </c>
      <c r="Y12" s="232">
        <f>+IF(SUM('Historical Financials'!$AO$775:$AQ$775,'Historical Financials'!$AO$788:$AQ$788,'Historical Financials'!$L775:AF775,'Historical Financials'!$L779:AF779,'Historical Financials'!$L780:AF780,'Historical Financials'!$L782:AF782,'Historical Financials'!$L784:AF784,'Historical Financials'!$L788:AF788)=0,"n/a",IFERROR(SUM('Historical Financials'!$AO$775:$AQ$775,'Historical Financials'!$AO$788:$AQ$788,'Historical Financials'!$L775:AF775,'Historical Financials'!$L779:AF779,'Historical Financials'!$L780:AF780,'Historical Financials'!$L782:AF782,'Historical Financials'!$L784:AF784,'Historical Financials'!$L788:AF788),"n/a"))</f>
        <v>88549.947999999989</v>
      </c>
      <c r="Z12" s="232">
        <f>+IF(SUM('Historical Financials'!$AO$775:$AQ$775,'Historical Financials'!$AO$788:$AQ$788,'Historical Financials'!$L775:AG775,'Historical Financials'!$L779:AG779,'Historical Financials'!$L780:AG780,'Historical Financials'!$L782:AG782,'Historical Financials'!$L784:AG784,'Historical Financials'!$L788:AG788)=0,"n/a",IFERROR(SUM('Historical Financials'!$AO$775:$AQ$775,'Historical Financials'!$AO$788:$AQ$788,'Historical Financials'!$L775:AG775,'Historical Financials'!$L779:AG779,'Historical Financials'!$L780:AG780,'Historical Financials'!$L782:AG782,'Historical Financials'!$L784:AG784,'Historical Financials'!$L788:AG788),"n/a"))</f>
        <v>88549.947999999989</v>
      </c>
      <c r="AA12" s="232">
        <f>+IF(SUM('Historical Financials'!$AO$775:$AQ$775,'Historical Financials'!$AO$788:$AQ$788,'Historical Financials'!$L775:AH775,'Historical Financials'!$L779:AH779,'Historical Financials'!$L780:AH780,'Historical Financials'!$L782:AH782,'Historical Financials'!$L784:AH784,'Historical Financials'!$L788:AH788)=0,"n/a",IFERROR(SUM('Historical Financials'!$AO$775:$AQ$775,'Historical Financials'!$AO$788:$AQ$788,'Historical Financials'!$L775:AH775,'Historical Financials'!$L779:AH779,'Historical Financials'!$L780:AH780,'Historical Financials'!$L782:AH782,'Historical Financials'!$L784:AH784,'Historical Financials'!$L788:AH788),"n/a"))</f>
        <v>88549.947999999989</v>
      </c>
    </row>
    <row r="13" spans="2:28" ht="12" outlineLevel="1" x14ac:dyDescent="0.35">
      <c r="B13" s="184" t="s">
        <v>517</v>
      </c>
      <c r="E13" s="266">
        <f>+SUM('Historical Financials'!$L248:L248)*1000</f>
        <v>0</v>
      </c>
      <c r="F13" s="266">
        <f>+SUM('Historical Financials'!$L248:M248)*1000</f>
        <v>0</v>
      </c>
      <c r="G13" s="266">
        <f>+SUM('Historical Financials'!$L248:N248)*1000</f>
        <v>0</v>
      </c>
      <c r="H13" s="266">
        <f>+SUM('Historical Financials'!$L248:O248)*1000</f>
        <v>0</v>
      </c>
      <c r="I13" s="266">
        <f>+SUM('Historical Financials'!$L248:P248)*1000</f>
        <v>0</v>
      </c>
      <c r="J13" s="266">
        <f>+SUM('Historical Financials'!$L248:Q248)*1000</f>
        <v>0</v>
      </c>
      <c r="K13" s="266">
        <f>+SUM('Historical Financials'!$L248:R248)*1000</f>
        <v>0</v>
      </c>
      <c r="L13" s="266">
        <f>+SUM('Historical Financials'!$L248:S248)*1000</f>
        <v>0</v>
      </c>
      <c r="M13" s="266">
        <f>+SUM('Historical Financials'!$L248:T248)*1000</f>
        <v>0</v>
      </c>
      <c r="N13" s="266">
        <f>+SUM('Historical Financials'!$L248:U248)*1000</f>
        <v>0</v>
      </c>
      <c r="O13" s="266">
        <f>+SUM('Historical Financials'!$L248:V248)*1000</f>
        <v>0</v>
      </c>
      <c r="P13" s="266">
        <f>+SUM('Historical Financials'!$L248:W248)*1000</f>
        <v>0</v>
      </c>
      <c r="Q13" s="266">
        <f>+SUM('Historical Financials'!$L248:X248)*1000</f>
        <v>0</v>
      </c>
      <c r="R13" s="266">
        <f>+SUM('Historical Financials'!$L248:Y248)*1000</f>
        <v>0</v>
      </c>
      <c r="S13" s="266">
        <f>+SUM('Historical Financials'!$L248:Z248)*1000</f>
        <v>22.784804633205063</v>
      </c>
      <c r="T13" s="266">
        <f>+SUM('Historical Financials'!$L248:AA248)*1000</f>
        <v>1779.3318504551937</v>
      </c>
      <c r="U13" s="266">
        <f>+SUM('Historical Financials'!$L248:AB248)*1000</f>
        <v>6719.1740435564707</v>
      </c>
      <c r="V13" s="266">
        <f>+SUM('Historical Financials'!$L248:AC248)*1000</f>
        <v>23915.794226079543</v>
      </c>
      <c r="W13" s="266">
        <f>+SUM('Historical Financials'!$L248:AD248)*1000</f>
        <v>59597.342399259011</v>
      </c>
      <c r="X13" s="266">
        <f>+SUM('Historical Financials'!$L248:AE248)*1000</f>
        <v>109790.52192035379</v>
      </c>
      <c r="Y13" s="266">
        <f>+SUM('Historical Financials'!$L248:AF248)*1000</f>
        <v>165325.75496238901</v>
      </c>
      <c r="Z13" s="266">
        <f>+SUM('Historical Financials'!$L248:AG248)*1000</f>
        <v>232541.8138217002</v>
      </c>
      <c r="AA13" s="266">
        <f>+SUM('Historical Financials'!$L248:AH248)*1000</f>
        <v>305135.15738975629</v>
      </c>
    </row>
    <row r="14" spans="2:28" ht="10.15" outlineLevel="1" x14ac:dyDescent="0.2">
      <c r="B14" s="4" t="s">
        <v>518</v>
      </c>
      <c r="E14" s="147">
        <f>SUM(E12:E13)</f>
        <v>19663.328999999998</v>
      </c>
      <c r="F14" s="147">
        <f t="shared" ref="F14:Z14" si="1">SUM(F12:F13)</f>
        <v>19663.328999999998</v>
      </c>
      <c r="G14" s="147">
        <f t="shared" si="1"/>
        <v>19663.328999999998</v>
      </c>
      <c r="H14" s="147">
        <f t="shared" si="1"/>
        <v>35828.048999999999</v>
      </c>
      <c r="I14" s="147">
        <f t="shared" si="1"/>
        <v>35828.048999999999</v>
      </c>
      <c r="J14" s="147">
        <f t="shared" si="1"/>
        <v>35828.048999999999</v>
      </c>
      <c r="K14" s="147">
        <f t="shared" si="1"/>
        <v>35828.048999999999</v>
      </c>
      <c r="L14" s="147">
        <f t="shared" si="1"/>
        <v>88549.947999999989</v>
      </c>
      <c r="M14" s="147">
        <f t="shared" si="1"/>
        <v>88549.947999999989</v>
      </c>
      <c r="N14" s="147">
        <f t="shared" si="1"/>
        <v>88549.947999999989</v>
      </c>
      <c r="O14" s="147">
        <f t="shared" si="1"/>
        <v>88549.947999999989</v>
      </c>
      <c r="P14" s="147">
        <f t="shared" si="1"/>
        <v>88549.947999999989</v>
      </c>
      <c r="Q14" s="147">
        <f t="shared" si="1"/>
        <v>88549.947999999989</v>
      </c>
      <c r="R14" s="147">
        <f t="shared" si="1"/>
        <v>88549.947999999989</v>
      </c>
      <c r="S14" s="147">
        <f t="shared" si="1"/>
        <v>88572.732804633197</v>
      </c>
      <c r="T14" s="147">
        <f t="shared" si="1"/>
        <v>90329.27985045519</v>
      </c>
      <c r="U14" s="147">
        <f t="shared" si="1"/>
        <v>95269.122043556461</v>
      </c>
      <c r="V14" s="147">
        <f t="shared" si="1"/>
        <v>112465.74222607953</v>
      </c>
      <c r="W14" s="147">
        <f t="shared" si="1"/>
        <v>148147.29039925901</v>
      </c>
      <c r="X14" s="147">
        <f t="shared" si="1"/>
        <v>198340.46992035379</v>
      </c>
      <c r="Y14" s="147">
        <f t="shared" si="1"/>
        <v>253875.70296238898</v>
      </c>
      <c r="Z14" s="147">
        <f t="shared" si="1"/>
        <v>321091.7618217002</v>
      </c>
      <c r="AA14" s="147">
        <f t="shared" ref="AA14" si="2">SUM(AA12:AA13)</f>
        <v>393685.10538975627</v>
      </c>
      <c r="AB14" s="147"/>
    </row>
    <row r="15" spans="2:28" ht="10.15" outlineLevel="1" x14ac:dyDescent="0.2">
      <c r="B15" s="181" t="s">
        <v>519</v>
      </c>
      <c r="E15" s="241">
        <f t="shared" ref="E15:Z15" si="3">+E14/SUM(E43,E45:E46)</f>
        <v>0.66833789698659529</v>
      </c>
      <c r="F15" s="241">
        <f t="shared" si="3"/>
        <v>0.61858953940844597</v>
      </c>
      <c r="G15" s="241">
        <f t="shared" si="3"/>
        <v>0.4884713692947707</v>
      </c>
      <c r="H15" s="241">
        <f t="shared" si="3"/>
        <v>0.87264139259229601</v>
      </c>
      <c r="I15" s="241">
        <f t="shared" si="3"/>
        <v>0.84152375720630657</v>
      </c>
      <c r="J15" s="241">
        <f t="shared" si="3"/>
        <v>0.70930476618875771</v>
      </c>
      <c r="K15" s="241">
        <f t="shared" si="3"/>
        <v>0.69978816562325719</v>
      </c>
      <c r="L15" s="241">
        <f t="shared" si="3"/>
        <v>0.95547570174228469</v>
      </c>
      <c r="M15" s="241">
        <f t="shared" si="3"/>
        <v>0.9489145568406252</v>
      </c>
      <c r="N15" s="241">
        <f t="shared" si="3"/>
        <v>0.90211862915507424</v>
      </c>
      <c r="O15" s="241">
        <f t="shared" si="3"/>
        <v>0.86454082651207398</v>
      </c>
      <c r="P15" s="241">
        <f t="shared" si="3"/>
        <v>0.82569340826698889</v>
      </c>
      <c r="Q15" s="241">
        <f t="shared" si="3"/>
        <v>0.79026778733072978</v>
      </c>
      <c r="R15" s="241">
        <f t="shared" si="3"/>
        <v>0.67424038119856122</v>
      </c>
      <c r="S15" s="241">
        <f t="shared" si="3"/>
        <v>0.59458547517217086</v>
      </c>
      <c r="T15" s="241">
        <f t="shared" si="3"/>
        <v>0.55060530615520609</v>
      </c>
      <c r="U15" s="241">
        <f t="shared" si="3"/>
        <v>0.54144231043314772</v>
      </c>
      <c r="V15" s="241">
        <f t="shared" si="3"/>
        <v>0.54793626362525605</v>
      </c>
      <c r="W15" s="241">
        <f t="shared" si="3"/>
        <v>0.63022786849739654</v>
      </c>
      <c r="X15" s="241">
        <f t="shared" si="3"/>
        <v>0.75468801893849902</v>
      </c>
      <c r="Y15" s="241">
        <f t="shared" si="3"/>
        <v>0.85820981257384799</v>
      </c>
      <c r="Z15" s="241">
        <f t="shared" si="3"/>
        <v>0.91892027665844511</v>
      </c>
      <c r="AA15" s="241">
        <f t="shared" ref="AA15" si="4">+AA14/SUM(AA43,AA45:AA46)</f>
        <v>1.0392661318020939</v>
      </c>
    </row>
    <row r="16" spans="2:28" ht="10.15" outlineLevel="1" x14ac:dyDescent="0.2">
      <c r="B16" s="250"/>
      <c r="E16" s="147"/>
      <c r="F16" s="147"/>
      <c r="G16" s="147"/>
      <c r="H16" s="147"/>
      <c r="I16" s="147"/>
      <c r="J16" s="147"/>
      <c r="K16" s="147"/>
      <c r="L16" s="147"/>
      <c r="M16" s="147"/>
      <c r="N16" s="147"/>
      <c r="O16" s="147"/>
      <c r="P16" s="147"/>
      <c r="Q16" s="147"/>
      <c r="R16" s="147"/>
      <c r="S16" s="147"/>
      <c r="T16" s="147"/>
      <c r="U16" s="147"/>
      <c r="V16" s="147"/>
      <c r="W16" s="147"/>
      <c r="X16" s="147"/>
      <c r="Y16" s="147"/>
      <c r="Z16" s="147"/>
      <c r="AA16" s="147"/>
    </row>
    <row r="17" spans="2:27" ht="10.15" x14ac:dyDescent="0.2">
      <c r="B17" s="184" t="s">
        <v>515</v>
      </c>
      <c r="E17" s="265">
        <f>+IF(SUM('Historical Financials'!$AO$774:$AQ$788,'Historical Financials'!$L774:L788)=0,"n/a",IFERROR(SUM('Historical Financials'!$AO$774:$AQ$788,'Historical Financials'!$L774:L788),"n/a"))</f>
        <v>19229.755000000001</v>
      </c>
      <c r="F17" s="265">
        <f>+IF(SUM('Historical Financials'!$AO$774:$AQ$788,'Historical Financials'!$L774:M788)=0,"n/a",IFERROR(SUM('Historical Financials'!$AO$774:$AQ$788,'Historical Financials'!$L774:M788),"n/a"))</f>
        <v>19229.755000000001</v>
      </c>
      <c r="G17" s="265">
        <f>+IF(SUM('Historical Financials'!$AO$774:$AQ$788,'Historical Financials'!$L774:N788)=0,"n/a",IFERROR(SUM('Historical Financials'!$AO$774:$AQ$788,'Historical Financials'!$L774:N788),"n/a"))</f>
        <v>19229.755000000001</v>
      </c>
      <c r="H17" s="265">
        <f>+IF(SUM('Historical Financials'!$AO$774:$AQ$788,'Historical Financials'!$L774:O788)=0,"n/a",IFERROR(SUM('Historical Financials'!$AO$774:$AQ$788,'Historical Financials'!$L774:O788),"n/a"))</f>
        <v>35084.485999999997</v>
      </c>
      <c r="I17" s="265">
        <f>+IF(SUM('Historical Financials'!$AO$774:$AQ$788,'Historical Financials'!$L774:P788)=0,"n/a",IFERROR(SUM('Historical Financials'!$AO$774:$AQ$788,'Historical Financials'!$L774:P788),"n/a"))</f>
        <v>35084.485999999997</v>
      </c>
      <c r="J17" s="265">
        <f>+IF(SUM('Historical Financials'!$AO$774:$AQ$788,'Historical Financials'!$L774:Q788)=0,"n/a",IFERROR(SUM('Historical Financials'!$AO$774:$AQ$788,'Historical Financials'!$L774:Q788),"n/a"))</f>
        <v>35084.485999999997</v>
      </c>
      <c r="K17" s="265">
        <f>+IF(SUM('Historical Financials'!$AO$774:$AQ$788,'Historical Financials'!$L774:R788)=0,"n/a",IFERROR(SUM('Historical Financials'!$AO$774:$AQ$788,'Historical Financials'!$L774:R788),"n/a"))</f>
        <v>35084.485999999997</v>
      </c>
      <c r="L17" s="265">
        <f>+IF(SUM('Historical Financials'!$AO$774:$AQ$788,'Historical Financials'!$L774:S788)=0,"n/a",IFERROR(SUM('Historical Financials'!$AO$774:$AQ$788,'Historical Financials'!$L774:S788),"n/a"))</f>
        <v>86883.487999999998</v>
      </c>
      <c r="M17" s="265">
        <f>+IF(SUM('Historical Financials'!$AO$774:$AQ$788,'Historical Financials'!$L774:T788)=0,"n/a",IFERROR(SUM('Historical Financials'!$AO$774:$AQ$788,'Historical Financials'!$L774:T788),"n/a"))</f>
        <v>86883.487999999998</v>
      </c>
      <c r="N17" s="265">
        <f>+IF(SUM('Historical Financials'!$AO$774:$AQ$788,'Historical Financials'!$L774:U788)=0,"n/a",IFERROR(SUM('Historical Financials'!$AO$774:$AQ$788,'Historical Financials'!$L774:U788),"n/a"))</f>
        <v>86883.487999999998</v>
      </c>
      <c r="O17" s="265">
        <f>+IF(SUM('Historical Financials'!$AO$774:$AQ$788,'Historical Financials'!$L774:V788)=0,"n/a",IFERROR(SUM('Historical Financials'!$AO$774:$AQ$788,'Historical Financials'!$L774:V788),"n/a"))</f>
        <v>86883.487999999998</v>
      </c>
      <c r="P17" s="265">
        <f>+IF(SUM('Historical Financials'!$AO$774:$AQ$788,'Historical Financials'!$L774:W788)=0,"n/a",IFERROR(SUM('Historical Financials'!$AO$774:$AQ$788,'Historical Financials'!$L774:W788),"n/a"))</f>
        <v>85008.016000000003</v>
      </c>
      <c r="Q17" s="265">
        <f>+IF(SUM('Historical Financials'!$AO$774:$AQ$788,'Historical Financials'!$L774:X788)=0,"n/a",IFERROR(SUM('Historical Financials'!$AO$774:$AQ$788,'Historical Financials'!$L774:X788),"n/a"))</f>
        <v>85008.016000000003</v>
      </c>
      <c r="R17" s="265">
        <f>+IF(SUM('Historical Financials'!$AO$774:$AQ$788,'Historical Financials'!$L774:Y788)=0,"n/a",IFERROR(SUM('Historical Financials'!$AO$774:$AQ$788,'Historical Financials'!$L774:Y788),"n/a"))</f>
        <v>85008.016000000003</v>
      </c>
      <c r="S17" s="265">
        <f>+IF(SUM('Historical Financials'!$AO$774:$AQ$788,'Historical Financials'!$L774:Z788)=0,"n/a",IFERROR(SUM('Historical Financials'!$AO$774:$AQ$788,'Historical Financials'!$L774:Z788),"n/a"))</f>
        <v>85008.016000000003</v>
      </c>
      <c r="T17" s="265">
        <f>+IF(SUM('Historical Financials'!$AO$774:$AQ$788,'Historical Financials'!$L774:AA788)=0,"n/a",IFERROR(SUM('Historical Financials'!$AO$774:$AQ$788,'Historical Financials'!$L774:AA788),"n/a"))</f>
        <v>85008.016000000003</v>
      </c>
      <c r="U17" s="265">
        <f>+IF(SUM('Historical Financials'!$AO$774:$AQ$788,'Historical Financials'!$L774:AB788)=0,"n/a",IFERROR(SUM('Historical Financials'!$AO$774:$AQ$788,'Historical Financials'!$L774:AB788),"n/a"))</f>
        <v>85008.016000000003</v>
      </c>
      <c r="V17" s="265">
        <f>+IF(SUM('Historical Financials'!$AO$774:$AQ$788,'Historical Financials'!$L774:AC788)=0,"n/a",IFERROR(SUM('Historical Financials'!$AO$774:$AQ$788,'Historical Financials'!$L774:AC788),"n/a"))</f>
        <v>85008.016000000003</v>
      </c>
      <c r="W17" s="265">
        <f>+IF(SUM('Historical Financials'!$AO$774:$AQ$788,'Historical Financials'!$L774:AD788)=0,"n/a",IFERROR(SUM('Historical Financials'!$AO$774:$AQ$788,'Historical Financials'!$L774:AD788),"n/a"))</f>
        <v>85008.016000000003</v>
      </c>
      <c r="X17" s="265">
        <f>+IF(SUM('Historical Financials'!$AO$774:$AQ$788,'Historical Financials'!$L774:AE788)=0,"n/a",IFERROR(SUM('Historical Financials'!$AO$774:$AQ$788,'Historical Financials'!$L774:AE788),"n/a"))</f>
        <v>76039.198999999993</v>
      </c>
      <c r="Y17" s="265">
        <f>+IF(SUM('Historical Financials'!$AO$774:$AQ$788,'Historical Financials'!$L774:AF788)=0,"n/a",IFERROR(SUM('Historical Financials'!$AO$774:$AQ$788,'Historical Financials'!$L774:AF788),"n/a"))</f>
        <v>76039.198999999993</v>
      </c>
      <c r="Z17" s="265">
        <f>+IF(SUM('Historical Financials'!$AO$774:$AQ$788,'Historical Financials'!$L774:AG788)=0,"n/a",IFERROR(SUM('Historical Financials'!$AO$774:$AQ$788,'Historical Financials'!$L774:AG788),"n/a"))</f>
        <v>76039.198999999993</v>
      </c>
      <c r="AA17" s="265">
        <f>+IF(SUM('Historical Financials'!$AO$774:$AQ$788,'Historical Financials'!$L774:AH788)=0,"n/a",IFERROR(SUM('Historical Financials'!$AO$774:$AQ$788,'Historical Financials'!$L774:AH788),"n/a"))</f>
        <v>76039.198999999993</v>
      </c>
    </row>
    <row r="18" spans="2:27" ht="10.15" x14ac:dyDescent="0.2">
      <c r="B18" s="184" t="s">
        <v>528</v>
      </c>
      <c r="E18" s="10">
        <f>+E13</f>
        <v>0</v>
      </c>
      <c r="F18" s="10">
        <f t="shared" ref="F18:Z18" si="5">+F13</f>
        <v>0</v>
      </c>
      <c r="G18" s="10">
        <f t="shared" si="5"/>
        <v>0</v>
      </c>
      <c r="H18" s="10">
        <f t="shared" si="5"/>
        <v>0</v>
      </c>
      <c r="I18" s="10">
        <f t="shared" si="5"/>
        <v>0</v>
      </c>
      <c r="J18" s="10">
        <f t="shared" si="5"/>
        <v>0</v>
      </c>
      <c r="K18" s="10">
        <f t="shared" si="5"/>
        <v>0</v>
      </c>
      <c r="L18" s="10">
        <f t="shared" si="5"/>
        <v>0</v>
      </c>
      <c r="M18" s="10">
        <f t="shared" si="5"/>
        <v>0</v>
      </c>
      <c r="N18" s="10">
        <f t="shared" si="5"/>
        <v>0</v>
      </c>
      <c r="O18" s="10">
        <f t="shared" si="5"/>
        <v>0</v>
      </c>
      <c r="P18" s="10">
        <f t="shared" si="5"/>
        <v>0</v>
      </c>
      <c r="Q18" s="10">
        <f t="shared" si="5"/>
        <v>0</v>
      </c>
      <c r="R18" s="10">
        <f t="shared" si="5"/>
        <v>0</v>
      </c>
      <c r="S18" s="10">
        <f t="shared" si="5"/>
        <v>22.784804633205063</v>
      </c>
      <c r="T18" s="10">
        <f t="shared" si="5"/>
        <v>1779.3318504551937</v>
      </c>
      <c r="U18" s="10">
        <f t="shared" si="5"/>
        <v>6719.1740435564707</v>
      </c>
      <c r="V18" s="10">
        <f t="shared" si="5"/>
        <v>23915.794226079543</v>
      </c>
      <c r="W18" s="10">
        <f t="shared" si="5"/>
        <v>59597.342399259011</v>
      </c>
      <c r="X18" s="10">
        <f t="shared" si="5"/>
        <v>109790.52192035379</v>
      </c>
      <c r="Y18" s="10">
        <f t="shared" si="5"/>
        <v>165325.75496238901</v>
      </c>
      <c r="Z18" s="10">
        <f t="shared" si="5"/>
        <v>232541.8138217002</v>
      </c>
      <c r="AA18" s="10">
        <f t="shared" ref="AA18" si="6">+AA13</f>
        <v>305135.15738975629</v>
      </c>
    </row>
    <row r="19" spans="2:27" ht="10.15" x14ac:dyDescent="0.2">
      <c r="B19" s="184" t="s">
        <v>529</v>
      </c>
      <c r="E19" s="160">
        <f>+-SUM('Historical Financials'!$L449:L449)</f>
        <v>0</v>
      </c>
      <c r="F19" s="160">
        <f>+-SUM('Historical Financials'!$L449:M449)</f>
        <v>0</v>
      </c>
      <c r="G19" s="160">
        <f>+-SUM('Historical Financials'!$L449:N449)</f>
        <v>0</v>
      </c>
      <c r="H19" s="160">
        <f>+-SUM('Historical Financials'!$L449:O449)</f>
        <v>0</v>
      </c>
      <c r="I19" s="160">
        <f>+-SUM('Historical Financials'!$L449:P449)</f>
        <v>0</v>
      </c>
      <c r="J19" s="160">
        <f>+-SUM('Historical Financials'!$L449:Q449)</f>
        <v>0</v>
      </c>
      <c r="K19" s="160">
        <f>+-SUM('Historical Financials'!$L449:R449)</f>
        <v>0</v>
      </c>
      <c r="L19" s="160">
        <f>+-SUM('Historical Financials'!$L449:S449)</f>
        <v>0</v>
      </c>
      <c r="M19" s="160">
        <f>+-SUM('Historical Financials'!$L449:T449)</f>
        <v>0</v>
      </c>
      <c r="N19" s="160">
        <f>+-SUM('Historical Financials'!$L449:U449)</f>
        <v>0</v>
      </c>
      <c r="O19" s="160">
        <f>+-SUM('Historical Financials'!$L449:V449)</f>
        <v>0</v>
      </c>
      <c r="P19" s="160">
        <f>+-SUM('Historical Financials'!$L449:W449)</f>
        <v>0</v>
      </c>
      <c r="Q19" s="160">
        <f>+-SUM('Historical Financials'!$L449:X449)</f>
        <v>0</v>
      </c>
      <c r="R19" s="160">
        <f>+-SUM('Historical Financials'!$L449:Y449)</f>
        <v>0</v>
      </c>
      <c r="S19" s="160">
        <f>+-SUM('Historical Financials'!$L449:Z449)</f>
        <v>-1067.9970399999984</v>
      </c>
      <c r="T19" s="160">
        <f>+-SUM('Historical Financials'!$L449:AA449)</f>
        <v>-3331.3859800000009</v>
      </c>
      <c r="U19" s="160">
        <f>+-SUM('Historical Financials'!$L449:AB449)</f>
        <v>-6455.1046400000032</v>
      </c>
      <c r="V19" s="160">
        <f>+-SUM('Historical Financials'!$L449:AC449)</f>
        <v>-9795.5242799999996</v>
      </c>
      <c r="W19" s="160">
        <f>+-SUM('Historical Financials'!$L449:AD449)</f>
        <v>-16479.637347199998</v>
      </c>
      <c r="X19" s="160">
        <f>+-SUM('Historical Financials'!$L449:AE449)</f>
        <v>-25384.317077600004</v>
      </c>
      <c r="Y19" s="160">
        <f>+-SUM('Historical Financials'!$L449:AF449)</f>
        <v>-33198.905396400005</v>
      </c>
      <c r="Z19" s="160">
        <f>+-SUM('Historical Financials'!$L449:AG449)</f>
        <v>-43019.338631600003</v>
      </c>
      <c r="AA19" s="160">
        <f>+-SUM('Historical Financials'!$L449:AH449)</f>
        <v>-55625.757230896001</v>
      </c>
    </row>
    <row r="20" spans="2:27" ht="12" x14ac:dyDescent="0.35">
      <c r="B20" s="184" t="s">
        <v>530</v>
      </c>
      <c r="E20" s="161">
        <f>-(SUM('Historical Financials'!$L389:L389)-SUM('Historical Financials'!$L411:L411))*0.33</f>
        <v>0</v>
      </c>
      <c r="F20" s="161">
        <f>-(SUM('Historical Financials'!$L389:M389)-SUM('Historical Financials'!$L411:M411))*0.33</f>
        <v>0</v>
      </c>
      <c r="G20" s="161">
        <f>-(SUM('Historical Financials'!$L389:N389)-SUM('Historical Financials'!$L411:N411))*0.33</f>
        <v>0</v>
      </c>
      <c r="H20" s="161">
        <f>-(SUM('Historical Financials'!$L389:O389)-SUM('Historical Financials'!$L411:O411))*0.33</f>
        <v>0</v>
      </c>
      <c r="I20" s="161">
        <f>-(SUM('Historical Financials'!$L389:P389)-SUM('Historical Financials'!$L411:P411))*0.33</f>
        <v>0</v>
      </c>
      <c r="J20" s="161">
        <f>-(SUM('Historical Financials'!$L389:Q389)-SUM('Historical Financials'!$L411:Q411))*0.33</f>
        <v>0</v>
      </c>
      <c r="K20" s="161">
        <f>-(SUM('Historical Financials'!$L389:R389)-SUM('Historical Financials'!$L411:R411))*0.33</f>
        <v>0</v>
      </c>
      <c r="L20" s="161">
        <f>-(SUM('Historical Financials'!$L389:S389)-SUM('Historical Financials'!$L411:S411))*0.33</f>
        <v>0</v>
      </c>
      <c r="M20" s="161">
        <f>-(SUM('Historical Financials'!$L389:T389)-SUM('Historical Financials'!$L411:T411))*0.33</f>
        <v>0</v>
      </c>
      <c r="N20" s="161">
        <f>-(SUM('Historical Financials'!$L389:U389)-SUM('Historical Financials'!$L411:U411))*0.33</f>
        <v>0</v>
      </c>
      <c r="O20" s="161">
        <f>-(SUM('Historical Financials'!$L389:V389)-SUM('Historical Financials'!$L411:V411))*0.33</f>
        <v>0</v>
      </c>
      <c r="P20" s="161">
        <f>-(SUM('Historical Financials'!$L389:W389)-SUM('Historical Financials'!$L411:W411))*0.33</f>
        <v>0</v>
      </c>
      <c r="Q20" s="161">
        <f>-(SUM('Historical Financials'!$L389:X389)-SUM('Historical Financials'!$L411:X411))*0.33</f>
        <v>0</v>
      </c>
      <c r="R20" s="161">
        <f>-(SUM('Historical Financials'!$L389:Y389)-SUM('Historical Financials'!$L411:Y411))*0.33</f>
        <v>0</v>
      </c>
      <c r="S20" s="161">
        <f>-(SUM('Historical Financials'!$L389:Z389)-SUM('Historical Financials'!$L411:Z411))*0.33</f>
        <v>-28.687139770251633</v>
      </c>
      <c r="T20" s="161">
        <f>-(SUM('Historical Financials'!$L389:AA389)-SUM('Historical Financials'!$L411:AA411))*0.33</f>
        <v>-291.58544155194022</v>
      </c>
      <c r="U20" s="161">
        <f>-(SUM('Historical Financials'!$L389:AB389)-SUM('Historical Financials'!$L411:AB411))*0.33</f>
        <v>-1225.5238098045638</v>
      </c>
      <c r="V20" s="161">
        <f>-(SUM('Historical Financials'!$L389:AC389)-SUM('Historical Financials'!$L411:AC411))*0.33</f>
        <v>-4187.0289120581556</v>
      </c>
      <c r="W20" s="161">
        <f>-(SUM('Historical Financials'!$L389:AD389)-SUM('Historical Financials'!$L411:AD411))*0.33</f>
        <v>-9699.6732423481371</v>
      </c>
      <c r="X20" s="161">
        <f>-(SUM('Historical Financials'!$L389:AE389)-SUM('Historical Financials'!$L411:AE411))*0.33</f>
        <v>-17289.044333702444</v>
      </c>
      <c r="Y20" s="161">
        <f>-(SUM('Historical Financials'!$L389:AF389)-SUM('Historical Financials'!$L411:AF411))*0.33</f>
        <v>-24472.560643575307</v>
      </c>
      <c r="Z20" s="161">
        <f>-(SUM('Historical Financials'!$L389:AG389)-SUM('Historical Financials'!$L411:AG411))*0.33</f>
        <v>-31261.736990383357</v>
      </c>
      <c r="AA20" s="161">
        <f>-(SUM('Historical Financials'!$L389:AH389)-SUM('Historical Financials'!$L411:AH411))*0.33</f>
        <v>-40136.63101647608</v>
      </c>
    </row>
    <row r="21" spans="2:27" s="1" customFormat="1" ht="10.15" x14ac:dyDescent="0.2">
      <c r="B21" s="38" t="s">
        <v>525</v>
      </c>
      <c r="E21" s="41">
        <f>SUM(E17:E20)</f>
        <v>19229.755000000001</v>
      </c>
      <c r="F21" s="41">
        <f t="shared" ref="F21:Z21" si="7">SUM(F17:F20)</f>
        <v>19229.755000000001</v>
      </c>
      <c r="G21" s="41">
        <f t="shared" si="7"/>
        <v>19229.755000000001</v>
      </c>
      <c r="H21" s="41">
        <f t="shared" si="7"/>
        <v>35084.485999999997</v>
      </c>
      <c r="I21" s="41">
        <f t="shared" si="7"/>
        <v>35084.485999999997</v>
      </c>
      <c r="J21" s="41">
        <f t="shared" si="7"/>
        <v>35084.485999999997</v>
      </c>
      <c r="K21" s="41">
        <f t="shared" si="7"/>
        <v>35084.485999999997</v>
      </c>
      <c r="L21" s="41">
        <f t="shared" si="7"/>
        <v>86883.487999999998</v>
      </c>
      <c r="M21" s="41">
        <f t="shared" si="7"/>
        <v>86883.487999999998</v>
      </c>
      <c r="N21" s="41">
        <f t="shared" si="7"/>
        <v>86883.487999999998</v>
      </c>
      <c r="O21" s="41">
        <f t="shared" si="7"/>
        <v>86883.487999999998</v>
      </c>
      <c r="P21" s="41">
        <f t="shared" si="7"/>
        <v>85008.016000000003</v>
      </c>
      <c r="Q21" s="41">
        <f t="shared" si="7"/>
        <v>85008.016000000003</v>
      </c>
      <c r="R21" s="41">
        <f t="shared" si="7"/>
        <v>85008.016000000003</v>
      </c>
      <c r="S21" s="41">
        <f t="shared" si="7"/>
        <v>83934.11662486296</v>
      </c>
      <c r="T21" s="41">
        <f t="shared" si="7"/>
        <v>83164.376428903255</v>
      </c>
      <c r="U21" s="41">
        <f t="shared" si="7"/>
        <v>84046.561593751903</v>
      </c>
      <c r="V21" s="41">
        <f t="shared" si="7"/>
        <v>94941.257034021386</v>
      </c>
      <c r="W21" s="41">
        <f t="shared" si="7"/>
        <v>118426.04780971087</v>
      </c>
      <c r="X21" s="41">
        <f t="shared" si="7"/>
        <v>143156.35950905134</v>
      </c>
      <c r="Y21" s="41">
        <f t="shared" si="7"/>
        <v>183693.48792241371</v>
      </c>
      <c r="Z21" s="41">
        <f t="shared" si="7"/>
        <v>234299.93719971681</v>
      </c>
      <c r="AA21" s="41">
        <f t="shared" ref="AA21" si="8">SUM(AA17:AA20)</f>
        <v>285411.96814238426</v>
      </c>
    </row>
    <row r="22" spans="2:27" s="3" customFormat="1" ht="10.15" x14ac:dyDescent="0.2">
      <c r="B22" s="30" t="s">
        <v>524</v>
      </c>
      <c r="E22" s="241">
        <f>+E21/E9</f>
        <v>0.65360112808301518</v>
      </c>
      <c r="F22" s="241">
        <f t="shared" ref="F22:Z22" si="9">+F21/F9</f>
        <v>0.60494971570618905</v>
      </c>
      <c r="G22" s="241">
        <f t="shared" si="9"/>
        <v>0.47770063533255047</v>
      </c>
      <c r="H22" s="241">
        <f t="shared" si="9"/>
        <v>0.85453089341886601</v>
      </c>
      <c r="I22" s="241">
        <f t="shared" si="9"/>
        <v>0.82405906272965235</v>
      </c>
      <c r="J22" s="241">
        <f t="shared" si="9"/>
        <v>0.69458409915322883</v>
      </c>
      <c r="K22" s="241">
        <f t="shared" si="9"/>
        <v>0.68526500284106584</v>
      </c>
      <c r="L22" s="241">
        <f t="shared" si="9"/>
        <v>0.93749418877826307</v>
      </c>
      <c r="M22" s="241">
        <f t="shared" si="9"/>
        <v>0.93105652091729951</v>
      </c>
      <c r="N22" s="241">
        <f t="shared" si="9"/>
        <v>0.88514126615603839</v>
      </c>
      <c r="O22" s="241">
        <f t="shared" si="9"/>
        <v>0.84827065653129319</v>
      </c>
      <c r="P22" s="241">
        <f t="shared" si="9"/>
        <v>0.79266628661436067</v>
      </c>
      <c r="Q22" s="241">
        <f t="shared" si="9"/>
        <v>0.75865766414335201</v>
      </c>
      <c r="R22" s="241">
        <f t="shared" si="9"/>
        <v>0.64727126788118949</v>
      </c>
      <c r="S22" s="241">
        <f t="shared" si="9"/>
        <v>0.56344661654088646</v>
      </c>
      <c r="T22" s="241">
        <f t="shared" si="9"/>
        <v>0.50693138504648816</v>
      </c>
      <c r="U22" s="241">
        <f t="shared" si="9"/>
        <v>0.47766121401305306</v>
      </c>
      <c r="V22" s="241">
        <f t="shared" si="9"/>
        <v>0.46255647820766777</v>
      </c>
      <c r="W22" s="241">
        <f t="shared" si="9"/>
        <v>0.50379183773487468</v>
      </c>
      <c r="X22" s="241">
        <f t="shared" si="9"/>
        <v>0.54471177465555942</v>
      </c>
      <c r="Y22" s="241">
        <f t="shared" si="9"/>
        <v>0.62096353452258546</v>
      </c>
      <c r="Z22" s="241">
        <f t="shared" si="9"/>
        <v>0.6705340613259837</v>
      </c>
      <c r="AA22" s="241">
        <f t="shared" ref="AA22" si="10">+AA21/AA9</f>
        <v>0.75344225128278419</v>
      </c>
    </row>
    <row r="23" spans="2:27" ht="10.15" x14ac:dyDescent="0.2">
      <c r="B23" s="30" t="s">
        <v>526</v>
      </c>
      <c r="E23" s="229" t="s">
        <v>64</v>
      </c>
      <c r="F23" s="229" t="s">
        <v>64</v>
      </c>
      <c r="G23" s="229" t="s">
        <v>64</v>
      </c>
      <c r="H23" s="229">
        <f>2289.578+22570.941+442.814+661.714+6157.221</f>
        <v>32122.267999999996</v>
      </c>
      <c r="I23" s="229" t="s">
        <v>64</v>
      </c>
      <c r="J23" s="229" t="s">
        <v>64</v>
      </c>
      <c r="K23" s="229" t="s">
        <v>64</v>
      </c>
      <c r="L23" s="229">
        <f>18812.263+51684.405+2889.824+5840.247</f>
        <v>79226.739000000001</v>
      </c>
      <c r="M23" s="229" t="s">
        <v>64</v>
      </c>
      <c r="N23" s="229" t="s">
        <v>64</v>
      </c>
      <c r="O23" s="229" t="s">
        <v>64</v>
      </c>
      <c r="P23" s="229">
        <f>3992.973+74210.278+11125.028+2.269</f>
        <v>89330.54800000001</v>
      </c>
      <c r="Q23" s="229" t="s">
        <v>64</v>
      </c>
      <c r="R23" s="229" t="s">
        <v>64</v>
      </c>
      <c r="S23" s="229" t="s">
        <v>64</v>
      </c>
      <c r="T23" s="229">
        <f>31539.317+69838.647+6412.148+61.553</f>
        <v>107851.66499999999</v>
      </c>
      <c r="U23" s="229" t="s">
        <v>64</v>
      </c>
      <c r="V23" s="229" t="s">
        <v>64</v>
      </c>
      <c r="W23" s="229" t="s">
        <v>64</v>
      </c>
      <c r="X23" s="229">
        <f>174554.145+3.116+17985.892</f>
        <v>192543.15299999999</v>
      </c>
      <c r="Y23" s="229" t="s">
        <v>64</v>
      </c>
      <c r="Z23" s="229" t="s">
        <v>64</v>
      </c>
      <c r="AA23" s="229" t="s">
        <v>64</v>
      </c>
    </row>
    <row r="24" spans="2:27" ht="10.15" x14ac:dyDescent="0.2">
      <c r="B24" s="30" t="s">
        <v>527</v>
      </c>
      <c r="E24" s="229" t="s">
        <v>64</v>
      </c>
      <c r="F24" s="229" t="s">
        <v>64</v>
      </c>
      <c r="G24" s="229" t="s">
        <v>64</v>
      </c>
      <c r="H24" s="229" t="s">
        <v>64</v>
      </c>
      <c r="I24" s="229" t="s">
        <v>64</v>
      </c>
      <c r="J24" s="229" t="s">
        <v>64</v>
      </c>
      <c r="K24" s="229" t="s">
        <v>64</v>
      </c>
      <c r="L24" s="229" t="s">
        <v>64</v>
      </c>
      <c r="M24" s="229" t="s">
        <v>64</v>
      </c>
      <c r="N24" s="229" t="s">
        <v>64</v>
      </c>
      <c r="O24" s="229" t="s">
        <v>64</v>
      </c>
      <c r="P24" s="229">
        <v>89330.547999999995</v>
      </c>
      <c r="Q24" s="229" t="s">
        <v>64</v>
      </c>
      <c r="R24" s="229" t="s">
        <v>64</v>
      </c>
      <c r="S24" s="229" t="s">
        <v>64</v>
      </c>
      <c r="T24" s="229">
        <v>78704.945999999996</v>
      </c>
      <c r="U24" s="229" t="s">
        <v>64</v>
      </c>
      <c r="V24" s="229" t="s">
        <v>64</v>
      </c>
      <c r="W24" s="229" t="s">
        <v>64</v>
      </c>
      <c r="X24" s="229">
        <v>141126.266</v>
      </c>
      <c r="Y24" s="229" t="s">
        <v>64</v>
      </c>
      <c r="Z24" s="229" t="s">
        <v>64</v>
      </c>
      <c r="AA24" s="229" t="s">
        <v>64</v>
      </c>
    </row>
    <row r="25" spans="2:27" ht="10.15" x14ac:dyDescent="0.2">
      <c r="B25" s="30" t="s">
        <v>531</v>
      </c>
      <c r="E25" s="229" t="s">
        <v>64</v>
      </c>
      <c r="F25" s="229" t="s">
        <v>64</v>
      </c>
      <c r="G25" s="229" t="s">
        <v>64</v>
      </c>
      <c r="H25" s="229" t="s">
        <v>64</v>
      </c>
      <c r="I25" s="229" t="s">
        <v>64</v>
      </c>
      <c r="J25" s="229" t="s">
        <v>64</v>
      </c>
      <c r="K25" s="229" t="s">
        <v>64</v>
      </c>
      <c r="L25" s="229" t="s">
        <v>64</v>
      </c>
      <c r="M25" s="229" t="s">
        <v>64</v>
      </c>
      <c r="N25" s="229" t="s">
        <v>64</v>
      </c>
      <c r="O25" s="229" t="s">
        <v>64</v>
      </c>
      <c r="P25" s="229">
        <v>56857.336000000003</v>
      </c>
      <c r="Q25" s="229" t="s">
        <v>64</v>
      </c>
      <c r="R25" s="229" t="s">
        <v>64</v>
      </c>
      <c r="S25" s="229" t="s">
        <v>64</v>
      </c>
      <c r="T25" s="229">
        <v>48931.724000000002</v>
      </c>
      <c r="U25" s="229" t="s">
        <v>64</v>
      </c>
      <c r="V25" s="229" t="s">
        <v>64</v>
      </c>
      <c r="W25" s="229" t="s">
        <v>64</v>
      </c>
      <c r="X25" s="229">
        <v>64819.351999999999</v>
      </c>
      <c r="Y25" s="229" t="s">
        <v>64</v>
      </c>
      <c r="Z25" s="229" t="s">
        <v>64</v>
      </c>
      <c r="AA25" s="229" t="s">
        <v>64</v>
      </c>
    </row>
    <row r="26" spans="2:27" ht="10.15" x14ac:dyDescent="0.2">
      <c r="B26" s="30"/>
      <c r="E26" s="229"/>
      <c r="F26" s="229"/>
      <c r="G26" s="229"/>
      <c r="H26" s="229"/>
      <c r="I26" s="229"/>
      <c r="J26" s="229"/>
      <c r="K26" s="229"/>
      <c r="L26" s="229"/>
      <c r="M26" s="229"/>
      <c r="N26" s="229"/>
      <c r="O26" s="229"/>
      <c r="P26" s="229"/>
      <c r="Q26" s="229"/>
      <c r="R26" s="229"/>
      <c r="S26" s="229"/>
      <c r="T26" s="229"/>
      <c r="U26" s="229"/>
      <c r="V26" s="229"/>
      <c r="W26" s="229"/>
      <c r="X26" s="229"/>
      <c r="Y26" s="229"/>
      <c r="Z26" s="229"/>
      <c r="AA26" s="229"/>
    </row>
    <row r="27" spans="2:27" ht="10.15" x14ac:dyDescent="0.2">
      <c r="B27" s="1" t="s">
        <v>0</v>
      </c>
      <c r="AA27" s="59">
        <f ca="1">TODAY()</f>
        <v>45796</v>
      </c>
    </row>
    <row r="28" spans="2:27" s="190" customFormat="1" ht="10.15" x14ac:dyDescent="0.2">
      <c r="B28" s="2" t="s">
        <v>473</v>
      </c>
    </row>
    <row r="29" spans="2:27" ht="10.15" x14ac:dyDescent="0.2">
      <c r="B29" s="3" t="s">
        <v>108</v>
      </c>
    </row>
    <row r="30" spans="2:27" ht="10.15" x14ac:dyDescent="0.2">
      <c r="E30" s="8" t="s">
        <v>59</v>
      </c>
      <c r="F30" s="9"/>
      <c r="G30" s="9"/>
      <c r="H30" s="9"/>
      <c r="I30" s="9"/>
      <c r="J30" s="9"/>
      <c r="K30" s="9"/>
      <c r="L30" s="9"/>
      <c r="M30" s="9"/>
      <c r="N30" s="9"/>
      <c r="O30" s="9"/>
      <c r="P30" s="9"/>
      <c r="Q30" s="9"/>
      <c r="R30" s="9"/>
      <c r="S30" s="9"/>
      <c r="T30" s="9"/>
      <c r="U30" s="9"/>
      <c r="V30" s="9"/>
      <c r="W30" s="9"/>
      <c r="X30" s="9"/>
      <c r="Y30" s="9"/>
      <c r="Z30" s="9"/>
      <c r="AA30" s="9"/>
    </row>
    <row r="31" spans="2:27" ht="12" x14ac:dyDescent="0.35">
      <c r="E31" s="7" t="s">
        <v>30</v>
      </c>
      <c r="F31" s="7" t="s">
        <v>31</v>
      </c>
      <c r="G31" s="7" t="s">
        <v>32</v>
      </c>
      <c r="H31" s="7" t="s">
        <v>33</v>
      </c>
      <c r="I31" s="7" t="s">
        <v>34</v>
      </c>
      <c r="J31" s="7" t="s">
        <v>35</v>
      </c>
      <c r="K31" s="7" t="s">
        <v>36</v>
      </c>
      <c r="L31" s="7" t="s">
        <v>37</v>
      </c>
      <c r="M31" s="7" t="s">
        <v>38</v>
      </c>
      <c r="N31" s="7" t="s">
        <v>39</v>
      </c>
      <c r="O31" s="7" t="s">
        <v>40</v>
      </c>
      <c r="P31" s="7" t="s">
        <v>41</v>
      </c>
      <c r="Q31" s="7" t="s">
        <v>42</v>
      </c>
      <c r="R31" s="7" t="s">
        <v>43</v>
      </c>
      <c r="S31" s="7" t="s">
        <v>44</v>
      </c>
      <c r="T31" s="7" t="s">
        <v>45</v>
      </c>
      <c r="U31" s="7" t="s">
        <v>46</v>
      </c>
      <c r="V31" s="7" t="s">
        <v>47</v>
      </c>
      <c r="W31" s="7" t="s">
        <v>48</v>
      </c>
      <c r="X31" s="7" t="s">
        <v>240</v>
      </c>
      <c r="Y31" s="7" t="s">
        <v>241</v>
      </c>
      <c r="Z31" s="7" t="s">
        <v>242</v>
      </c>
      <c r="AA31" s="7" t="s">
        <v>243</v>
      </c>
    </row>
    <row r="32" spans="2:27" ht="10.15" hidden="1" outlineLevel="1" x14ac:dyDescent="0.2">
      <c r="B32" t="s">
        <v>375</v>
      </c>
      <c r="E32" s="175">
        <v>43466</v>
      </c>
      <c r="F32" s="234">
        <f>+E33+1</f>
        <v>43556</v>
      </c>
      <c r="G32" s="234">
        <f t="shared" ref="G32:AA32" si="11">+F33+1</f>
        <v>43647</v>
      </c>
      <c r="H32" s="234">
        <f t="shared" si="11"/>
        <v>43739</v>
      </c>
      <c r="I32" s="234">
        <f t="shared" si="11"/>
        <v>43831</v>
      </c>
      <c r="J32" s="234">
        <f t="shared" si="11"/>
        <v>43922</v>
      </c>
      <c r="K32" s="234">
        <f t="shared" si="11"/>
        <v>44013</v>
      </c>
      <c r="L32" s="234">
        <f t="shared" si="11"/>
        <v>44105</v>
      </c>
      <c r="M32" s="234">
        <f t="shared" si="11"/>
        <v>44197</v>
      </c>
      <c r="N32" s="234">
        <f t="shared" si="11"/>
        <v>44287</v>
      </c>
      <c r="O32" s="234">
        <f t="shared" si="11"/>
        <v>44378</v>
      </c>
      <c r="P32" s="234">
        <f t="shared" si="11"/>
        <v>44470</v>
      </c>
      <c r="Q32" s="234">
        <f t="shared" si="11"/>
        <v>44562</v>
      </c>
      <c r="R32" s="234">
        <f t="shared" si="11"/>
        <v>44652</v>
      </c>
      <c r="S32" s="234">
        <f t="shared" si="11"/>
        <v>44743</v>
      </c>
      <c r="T32" s="234">
        <f t="shared" si="11"/>
        <v>44835</v>
      </c>
      <c r="U32" s="234">
        <f t="shared" si="11"/>
        <v>44927</v>
      </c>
      <c r="V32" s="234">
        <f t="shared" si="11"/>
        <v>45017</v>
      </c>
      <c r="W32" s="234">
        <f t="shared" si="11"/>
        <v>45108</v>
      </c>
      <c r="X32" s="234">
        <f t="shared" si="11"/>
        <v>45200</v>
      </c>
      <c r="Y32" s="234">
        <f t="shared" si="11"/>
        <v>45292</v>
      </c>
      <c r="Z32" s="234">
        <f t="shared" si="11"/>
        <v>45383</v>
      </c>
      <c r="AA32" s="234">
        <f t="shared" si="11"/>
        <v>45474</v>
      </c>
    </row>
    <row r="33" spans="2:28" ht="10.15" hidden="1" outlineLevel="1" x14ac:dyDescent="0.2">
      <c r="B33" t="s">
        <v>376</v>
      </c>
      <c r="E33" s="175">
        <v>43555</v>
      </c>
      <c r="F33" s="175">
        <v>43646</v>
      </c>
      <c r="G33" s="175">
        <v>43738</v>
      </c>
      <c r="H33" s="175">
        <v>43830</v>
      </c>
      <c r="I33" s="175">
        <v>43921</v>
      </c>
      <c r="J33" s="175">
        <v>44012</v>
      </c>
      <c r="K33" s="175">
        <v>44104</v>
      </c>
      <c r="L33" s="175">
        <v>44196</v>
      </c>
      <c r="M33" s="175">
        <v>44286</v>
      </c>
      <c r="N33" s="175">
        <v>44377</v>
      </c>
      <c r="O33" s="175">
        <v>44469</v>
      </c>
      <c r="P33" s="175">
        <v>44561</v>
      </c>
      <c r="Q33" s="175">
        <v>44651</v>
      </c>
      <c r="R33" s="175">
        <v>44742</v>
      </c>
      <c r="S33" s="175">
        <v>44834</v>
      </c>
      <c r="T33" s="175">
        <v>44926</v>
      </c>
      <c r="U33" s="175">
        <v>45016</v>
      </c>
      <c r="V33" s="175">
        <v>45107</v>
      </c>
      <c r="W33" s="175">
        <v>45199</v>
      </c>
      <c r="X33" s="175">
        <v>45291</v>
      </c>
      <c r="Y33" s="175">
        <v>45382</v>
      </c>
      <c r="Z33" s="175">
        <v>45473</v>
      </c>
      <c r="AA33" s="175">
        <v>45565</v>
      </c>
    </row>
    <row r="34" spans="2:28" ht="10.15" hidden="1" outlineLevel="1" x14ac:dyDescent="0.2">
      <c r="B34" t="s">
        <v>487</v>
      </c>
      <c r="E34" s="10">
        <f>+E33-E32+1</f>
        <v>90</v>
      </c>
      <c r="F34" s="10">
        <f t="shared" ref="F34:AA34" si="12">+F33-F32+1</f>
        <v>91</v>
      </c>
      <c r="G34" s="10">
        <f t="shared" si="12"/>
        <v>92</v>
      </c>
      <c r="H34" s="10">
        <f t="shared" si="12"/>
        <v>92</v>
      </c>
      <c r="I34" s="10">
        <f t="shared" si="12"/>
        <v>91</v>
      </c>
      <c r="J34" s="10">
        <f t="shared" si="12"/>
        <v>91</v>
      </c>
      <c r="K34" s="10">
        <f t="shared" si="12"/>
        <v>92</v>
      </c>
      <c r="L34" s="10">
        <f t="shared" si="12"/>
        <v>92</v>
      </c>
      <c r="M34" s="10">
        <f t="shared" si="12"/>
        <v>90</v>
      </c>
      <c r="N34" s="10">
        <f t="shared" si="12"/>
        <v>91</v>
      </c>
      <c r="O34" s="10">
        <f t="shared" si="12"/>
        <v>92</v>
      </c>
      <c r="P34" s="10">
        <f t="shared" si="12"/>
        <v>92</v>
      </c>
      <c r="Q34" s="10">
        <f t="shared" si="12"/>
        <v>90</v>
      </c>
      <c r="R34" s="10">
        <f t="shared" si="12"/>
        <v>91</v>
      </c>
      <c r="S34" s="10">
        <f t="shared" si="12"/>
        <v>92</v>
      </c>
      <c r="T34" s="10">
        <f t="shared" si="12"/>
        <v>92</v>
      </c>
      <c r="U34" s="10">
        <f t="shared" si="12"/>
        <v>90</v>
      </c>
      <c r="V34" s="10">
        <f t="shared" si="12"/>
        <v>91</v>
      </c>
      <c r="W34" s="10">
        <f t="shared" si="12"/>
        <v>92</v>
      </c>
      <c r="X34" s="10">
        <f t="shared" si="12"/>
        <v>92</v>
      </c>
      <c r="Y34" s="10">
        <f t="shared" si="12"/>
        <v>91</v>
      </c>
      <c r="Z34" s="10">
        <f t="shared" si="12"/>
        <v>91</v>
      </c>
      <c r="AA34" s="10">
        <f t="shared" si="12"/>
        <v>92</v>
      </c>
    </row>
    <row r="35" spans="2:28" ht="10.15" collapsed="1" x14ac:dyDescent="0.2"/>
    <row r="36" spans="2:28" ht="10.15" x14ac:dyDescent="0.2">
      <c r="B36" s="6" t="s">
        <v>491</v>
      </c>
      <c r="C36" s="5"/>
    </row>
    <row r="37" spans="2:28" ht="10.15" x14ac:dyDescent="0.2">
      <c r="B37" s="1"/>
    </row>
    <row r="38" spans="2:28" ht="10.15" x14ac:dyDescent="0.2">
      <c r="B38" t="s">
        <v>474</v>
      </c>
      <c r="E38" s="160">
        <f>+'Historical Financials'!L575</f>
        <v>252.102</v>
      </c>
      <c r="F38" s="160">
        <f>+'Historical Financials'!M575</f>
        <v>402.56799999999998</v>
      </c>
      <c r="G38" s="160">
        <f>+'Historical Financials'!N575</f>
        <v>414.61500000000001</v>
      </c>
      <c r="H38" s="160">
        <f>+'Historical Financials'!O575</f>
        <v>472.54</v>
      </c>
      <c r="I38" s="160">
        <f>+'Historical Financials'!P575</f>
        <v>460.28199999999998</v>
      </c>
      <c r="J38" s="160">
        <f>+'Historical Financials'!Q575</f>
        <v>838.27599999999995</v>
      </c>
      <c r="K38" s="160">
        <f>+'Historical Financials'!R575</f>
        <v>485.41300000000001</v>
      </c>
      <c r="L38" s="160">
        <f>+'Historical Financials'!S575</f>
        <v>671.39499999999998</v>
      </c>
      <c r="M38" s="160">
        <f>+'Historical Financials'!T575</f>
        <v>970.47699999999998</v>
      </c>
      <c r="N38" s="160">
        <f>+'Historical Financials'!U575</f>
        <v>544.62900000000002</v>
      </c>
      <c r="O38" s="160">
        <f>+'Historical Financials'!V575</f>
        <v>631.91300000000001</v>
      </c>
      <c r="P38" s="160">
        <f>+'Historical Financials'!W575</f>
        <v>914.64299999999957</v>
      </c>
      <c r="Q38" s="160">
        <f>+'Historical Financials'!X575</f>
        <v>796.26099999999997</v>
      </c>
      <c r="R38" s="160">
        <f>+'Historical Financials'!Y575</f>
        <v>756.99099999999999</v>
      </c>
      <c r="S38" s="160">
        <f>+'Historical Financials'!Z575</f>
        <v>1092.1500000000001</v>
      </c>
      <c r="T38" s="160">
        <f>+'Historical Financials'!AA575</f>
        <v>1351.6979999999999</v>
      </c>
      <c r="U38" s="160">
        <f>+'Historical Financials'!AB575</f>
        <v>1463.5989999999999</v>
      </c>
      <c r="V38" s="160">
        <f>+'Historical Financials'!AC575</f>
        <v>2287.741</v>
      </c>
      <c r="W38" s="160">
        <f>+'Historical Financials'!AD575</f>
        <v>2127.3560000000002</v>
      </c>
      <c r="X38" s="160">
        <f>+'Historical Financials'!AE575</f>
        <v>4359.384</v>
      </c>
      <c r="Y38" s="160">
        <f>+'Historical Financials'!AF575</f>
        <v>5048.5889999999999</v>
      </c>
      <c r="Z38" s="160">
        <f>+'Historical Financials'!AG575</f>
        <v>4855.5919999999996</v>
      </c>
      <c r="AA38" s="160">
        <f>+'Historical Financials'!AH575</f>
        <v>5416.08</v>
      </c>
    </row>
    <row r="39" spans="2:28" ht="12" x14ac:dyDescent="0.35">
      <c r="B39" t="s">
        <v>490</v>
      </c>
      <c r="E39" s="25">
        <f>+E48</f>
        <v>41154.581000000006</v>
      </c>
      <c r="F39" s="25">
        <f t="shared" ref="F39:Z39" si="13">+F48</f>
        <v>46369.187000000005</v>
      </c>
      <c r="G39" s="25">
        <f t="shared" si="13"/>
        <v>53763.2215</v>
      </c>
      <c r="H39" s="25">
        <f t="shared" si="13"/>
        <v>63780.77</v>
      </c>
      <c r="I39" s="25">
        <f t="shared" si="13"/>
        <v>69091.140500000009</v>
      </c>
      <c r="J39" s="25">
        <f t="shared" si="13"/>
        <v>76263.682918262944</v>
      </c>
      <c r="K39" s="25">
        <f t="shared" si="13"/>
        <v>86495.636836525897</v>
      </c>
      <c r="L39" s="25">
        <f t="shared" si="13"/>
        <v>117555.12341826293</v>
      </c>
      <c r="M39" s="25">
        <f t="shared" si="13"/>
        <v>142856.78752647736</v>
      </c>
      <c r="N39" s="25">
        <f t="shared" si="13"/>
        <v>143493.33280326621</v>
      </c>
      <c r="O39" s="25">
        <f t="shared" si="13"/>
        <v>150013.12307812739</v>
      </c>
      <c r="P39" s="25">
        <f t="shared" si="13"/>
        <v>160257.40130133857</v>
      </c>
      <c r="Q39" s="25">
        <f t="shared" si="13"/>
        <v>161819.97442384277</v>
      </c>
      <c r="R39" s="25">
        <f t="shared" si="13"/>
        <v>168959.51147492661</v>
      </c>
      <c r="S39" s="25">
        <f t="shared" si="13"/>
        <v>189456.68413090421</v>
      </c>
      <c r="T39" s="25">
        <f t="shared" si="13"/>
        <v>209901.31657982041</v>
      </c>
      <c r="U39" s="25">
        <f t="shared" si="13"/>
        <v>224440.89934207557</v>
      </c>
      <c r="V39" s="25">
        <f t="shared" si="13"/>
        <v>242080.76637599751</v>
      </c>
      <c r="W39" s="25">
        <f t="shared" si="13"/>
        <v>274395.68280141067</v>
      </c>
      <c r="X39" s="25">
        <f t="shared" si="13"/>
        <v>308139.77376748878</v>
      </c>
      <c r="Y39" s="25">
        <f t="shared" si="13"/>
        <v>339864.88089869608</v>
      </c>
      <c r="Z39" s="25">
        <f t="shared" si="13"/>
        <v>381858.29468794423</v>
      </c>
      <c r="AA39" s="25">
        <f t="shared" ref="AA39" si="14">+AA48</f>
        <v>423993.60552843916</v>
      </c>
    </row>
    <row r="40" spans="2:28" s="1" customFormat="1" ht="10.15" x14ac:dyDescent="0.2">
      <c r="B40" s="38" t="s">
        <v>491</v>
      </c>
      <c r="E40" s="236">
        <f>365/E34*E38/E39</f>
        <v>2.4843252970226243E-2</v>
      </c>
      <c r="F40" s="236">
        <f t="shared" ref="F40:Z40" si="15">365/F34*F38/F39</f>
        <v>3.4822603729839474E-2</v>
      </c>
      <c r="G40" s="236">
        <f t="shared" si="15"/>
        <v>3.0596007823901959E-2</v>
      </c>
      <c r="H40" s="236">
        <f t="shared" si="15"/>
        <v>2.9393672841461809E-2</v>
      </c>
      <c r="I40" s="236">
        <f t="shared" si="15"/>
        <v>2.6721024296248862E-2</v>
      </c>
      <c r="J40" s="236">
        <f t="shared" si="15"/>
        <v>4.408803372083997E-2</v>
      </c>
      <c r="K40" s="236">
        <f t="shared" si="15"/>
        <v>2.2264976427159425E-2</v>
      </c>
      <c r="L40" s="236">
        <f t="shared" si="15"/>
        <v>2.2659043751799491E-2</v>
      </c>
      <c r="M40" s="236">
        <f t="shared" si="15"/>
        <v>2.7550832249811127E-2</v>
      </c>
      <c r="N40" s="236">
        <f t="shared" si="15"/>
        <v>1.522371033824235E-2</v>
      </c>
      <c r="O40" s="236">
        <f t="shared" si="15"/>
        <v>1.6712178840504969E-2</v>
      </c>
      <c r="P40" s="236">
        <f t="shared" si="15"/>
        <v>2.2643239284526558E-2</v>
      </c>
      <c r="Q40" s="236">
        <f t="shared" si="15"/>
        <v>1.9956008111606867E-2</v>
      </c>
      <c r="R40" s="236">
        <f t="shared" si="15"/>
        <v>1.797047444037007E-2</v>
      </c>
      <c r="S40" s="236">
        <f t="shared" si="15"/>
        <v>2.2870591412069801E-2</v>
      </c>
      <c r="T40" s="236">
        <f t="shared" si="15"/>
        <v>2.5548743469958352E-2</v>
      </c>
      <c r="U40" s="236">
        <f t="shared" si="15"/>
        <v>2.6446637279370397E-2</v>
      </c>
      <c r="V40" s="236">
        <f t="shared" si="15"/>
        <v>3.7905134506790082E-2</v>
      </c>
      <c r="W40" s="236">
        <f t="shared" si="15"/>
        <v>3.0758697110262207E-2</v>
      </c>
      <c r="X40" s="236">
        <f t="shared" si="15"/>
        <v>5.6128366560571047E-2</v>
      </c>
      <c r="Y40" s="236">
        <f t="shared" si="15"/>
        <v>5.9582016672195946E-2</v>
      </c>
      <c r="Z40" s="236">
        <f t="shared" si="15"/>
        <v>5.1002496016910606E-2</v>
      </c>
      <c r="AA40" s="236">
        <f t="shared" ref="AA40" si="16">365/AA34*AA38/AA39</f>
        <v>5.0679322554573046E-2</v>
      </c>
    </row>
    <row r="42" spans="2:28" ht="10.15" x14ac:dyDescent="0.2">
      <c r="B42" s="251" t="s">
        <v>520</v>
      </c>
    </row>
    <row r="43" spans="2:28" ht="10.15" x14ac:dyDescent="0.2">
      <c r="B43" s="184" t="s">
        <v>477</v>
      </c>
      <c r="D43" s="160">
        <f>+'Historical Financials'!K799</f>
        <v>14160.322</v>
      </c>
      <c r="E43" s="160">
        <f>+'Historical Financials'!L799</f>
        <v>22501.690999999999</v>
      </c>
      <c r="F43" s="160">
        <f>+'Historical Financials'!M799</f>
        <v>23851.94</v>
      </c>
      <c r="G43" s="160">
        <f>+'Historical Financials'!N799</f>
        <v>15694.045</v>
      </c>
      <c r="H43" s="160">
        <f>+'Historical Financials'!O799</f>
        <v>5768.1859999999997</v>
      </c>
      <c r="I43" s="160">
        <f>+'Historical Financials'!P799</f>
        <v>5526.7359999999999</v>
      </c>
      <c r="J43" s="160">
        <f>+'Historical Financials'!Q799</f>
        <v>4209.6229999999996</v>
      </c>
      <c r="K43" s="160">
        <f>+'Historical Financials'!R799</f>
        <v>5715.6760000000004</v>
      </c>
      <c r="L43" s="160">
        <f>+'Historical Financials'!S799</f>
        <v>22421.188999999998</v>
      </c>
      <c r="M43" s="160">
        <f>+'Historical Financials'!T799</f>
        <v>17012.977999999999</v>
      </c>
      <c r="N43" s="160">
        <f>+'Historical Financials'!U799</f>
        <v>19154.776999999998</v>
      </c>
      <c r="O43" s="160">
        <f>+'Historical Financials'!V799</f>
        <v>11132.800999999999</v>
      </c>
      <c r="P43" s="160">
        <f>+'Historical Financials'!W799</f>
        <v>6426.7150000000001</v>
      </c>
      <c r="Q43" s="160">
        <f>+'Historical Financials'!X799</f>
        <v>7404.9920000000002</v>
      </c>
      <c r="R43" s="160">
        <f>+'Historical Financials'!Y799</f>
        <v>13057.463</v>
      </c>
      <c r="S43" s="160">
        <f>+'Historical Financials'!Z799</f>
        <v>25601.546999999999</v>
      </c>
      <c r="T43" s="160">
        <f>+'Historical Financials'!AA799</f>
        <v>34326.192000000003</v>
      </c>
      <c r="U43" s="160">
        <f>+'Historical Financials'!AB799</f>
        <v>19771.264999999999</v>
      </c>
      <c r="V43" s="160">
        <f>+'Historical Financials'!AC799</f>
        <v>31379.326000000001</v>
      </c>
      <c r="W43" s="160">
        <f>+'Historical Financials'!AD799</f>
        <v>54939.760999999999</v>
      </c>
      <c r="X43" s="160">
        <f>+'Historical Financials'!AE799</f>
        <v>59794.468999999997</v>
      </c>
      <c r="Y43" s="160">
        <f>+'Historical Financials'!AF799</f>
        <v>55591.887999999999</v>
      </c>
      <c r="Z43" s="160">
        <f>+'Historical Financials'!AG799</f>
        <v>56756.328999999998</v>
      </c>
      <c r="AA43" s="160">
        <f>+'Historical Financials'!AH799</f>
        <v>65295.430999999997</v>
      </c>
    </row>
    <row r="44" spans="2:28" ht="10.15" x14ac:dyDescent="0.2">
      <c r="B44" s="184" t="s">
        <v>476</v>
      </c>
      <c r="D44" s="160">
        <f>+'Historical Financials'!K800</f>
        <v>16379.364</v>
      </c>
      <c r="E44" s="160">
        <f>+'Historical Financials'!L800</f>
        <v>14717.548000000001</v>
      </c>
      <c r="F44" s="160">
        <f>+'Historical Financials'!M800</f>
        <v>16812.225999999999</v>
      </c>
      <c r="G44" s="160">
        <f>+'Historical Financials'!N800</f>
        <v>18672.031999999999</v>
      </c>
      <c r="H44" s="160">
        <f>+'Historical Financials'!O800</f>
        <v>27577.670999999998</v>
      </c>
      <c r="I44" s="160">
        <f>+'Historical Financials'!P800</f>
        <v>26972.388999999999</v>
      </c>
      <c r="J44" s="160">
        <f>+'Historical Financials'!Q800</f>
        <v>32468.267</v>
      </c>
      <c r="K44" s="160">
        <f>+'Historical Financials'!R800</f>
        <v>38813.084000000003</v>
      </c>
      <c r="L44" s="160">
        <f>+'Historical Financials'!S800</f>
        <v>52422.447</v>
      </c>
      <c r="M44" s="160">
        <f>+'Historical Financials'!T800</f>
        <v>47297.74</v>
      </c>
      <c r="N44" s="160">
        <f>+'Historical Financials'!U800</f>
        <v>48214.067999999999</v>
      </c>
      <c r="O44" s="160">
        <f>+'Historical Financials'!V800</f>
        <v>51230.161</v>
      </c>
      <c r="P44" s="160">
        <f>+'Historical Financials'!W800</f>
        <v>59617.256000000001</v>
      </c>
      <c r="Q44" s="160">
        <f>+'Historical Financials'!X800</f>
        <v>44729</v>
      </c>
      <c r="R44" s="160">
        <f>+'Historical Financials'!Y800</f>
        <v>49806.557999999997</v>
      </c>
      <c r="S44" s="160">
        <f>+'Historical Financials'!Z800</f>
        <v>48808.387999999999</v>
      </c>
      <c r="T44" s="160">
        <f>+'Historical Financials'!AA800</f>
        <v>57974.224999999999</v>
      </c>
      <c r="U44" s="160">
        <f>+'Historical Financials'!AB800</f>
        <v>50898.735000000001</v>
      </c>
      <c r="V44" s="160">
        <f>+'Historical Financials'!AC800</f>
        <v>52055.133000000002</v>
      </c>
      <c r="W44" s="160">
        <f>+'Historical Financials'!AD800</f>
        <v>56413.498</v>
      </c>
      <c r="X44" s="160">
        <f>+'Historical Financials'!AE800</f>
        <v>61985.436000000002</v>
      </c>
      <c r="Y44" s="160">
        <f>+'Historical Financials'!AF800</f>
        <v>59113.029000000002</v>
      </c>
      <c r="Z44" s="160">
        <f>+'Historical Financials'!AG800</f>
        <v>59360.6</v>
      </c>
      <c r="AA44" s="160">
        <f>+'Historical Financials'!AH800</f>
        <v>60393.063999999998</v>
      </c>
      <c r="AB44" s="33"/>
    </row>
    <row r="45" spans="2:28" ht="10.15" x14ac:dyDescent="0.2">
      <c r="B45" s="184" t="s">
        <v>475</v>
      </c>
      <c r="D45" s="160">
        <f>+'Historical Financials'!K803</f>
        <v>7630.6890000000003</v>
      </c>
      <c r="E45" s="160">
        <f>+'Historical Financials'!L803</f>
        <v>6919.5479999999998</v>
      </c>
      <c r="F45" s="160">
        <f>+'Historical Financials'!M803</f>
        <v>7935.4210000000003</v>
      </c>
      <c r="G45" s="160">
        <f>+'Historical Financials'!N803</f>
        <v>24560.778999999999</v>
      </c>
      <c r="H45" s="160">
        <f>+'Historical Financials'!O803</f>
        <v>35288.826999999997</v>
      </c>
      <c r="I45" s="160">
        <f>+'Historical Financials'!P803</f>
        <v>37048.472000000002</v>
      </c>
      <c r="J45" s="160">
        <f>+'Historical Financials'!Q803</f>
        <v>44801.078000000001</v>
      </c>
      <c r="K45" s="160">
        <f>+'Historical Financials'!R803</f>
        <v>39859.089</v>
      </c>
      <c r="L45" s="160">
        <f>+'Historical Financials'!S803</f>
        <v>64551.093999999997</v>
      </c>
      <c r="M45" s="160">
        <f>+'Historical Financials'!T803</f>
        <v>66342.812999999995</v>
      </c>
      <c r="N45" s="160">
        <f>+'Historical Financials'!U803</f>
        <v>73026.501999999993</v>
      </c>
      <c r="O45" s="160">
        <f>+'Historical Financials'!V803</f>
        <v>86785.027000000002</v>
      </c>
      <c r="P45" s="160">
        <f>+'Historical Financials'!W803</f>
        <v>86516.618000000002</v>
      </c>
      <c r="Q45" s="160">
        <f>+'Historical Financials'!X803</f>
        <v>87815.868000000002</v>
      </c>
      <c r="R45" s="160">
        <f>+'Historical Financials'!Y803</f>
        <v>106322.57799999999</v>
      </c>
      <c r="S45" s="160">
        <f>+'Historical Financials'!Z803</f>
        <v>112207.94899999999</v>
      </c>
      <c r="T45" s="160">
        <f>+'Historical Financials'!AA803</f>
        <v>115112.554</v>
      </c>
      <c r="U45" s="160">
        <f>+'Historical Financials'!AB803</f>
        <v>137263.55300000001</v>
      </c>
      <c r="V45" s="160">
        <f>+'Historical Financials'!AC803</f>
        <v>148129.26</v>
      </c>
      <c r="W45" s="160">
        <f>+'Historical Financials'!AD803</f>
        <v>147906.90400000001</v>
      </c>
      <c r="X45" s="160">
        <f>+'Historical Financials'!AE803</f>
        <v>157415.36499999999</v>
      </c>
      <c r="Y45" s="160">
        <f>+'Historical Financials'!AF803</f>
        <v>186539.73199999999</v>
      </c>
      <c r="Z45" s="160">
        <f>+'Historical Financials'!AG803</f>
        <v>228170.85</v>
      </c>
      <c r="AA45" s="160">
        <f>+'Historical Financials'!AH803</f>
        <v>243166.321</v>
      </c>
    </row>
    <row r="46" spans="2:28" ht="12" x14ac:dyDescent="0.35">
      <c r="B46" s="184" t="s">
        <v>486</v>
      </c>
      <c r="D46" s="54">
        <v>0</v>
      </c>
      <c r="E46" s="54">
        <v>0</v>
      </c>
      <c r="F46" s="54">
        <v>0</v>
      </c>
      <c r="G46" s="54">
        <v>0</v>
      </c>
      <c r="H46" s="25">
        <f>+SUM(H60:H61)</f>
        <v>0</v>
      </c>
      <c r="I46" s="54">
        <v>0</v>
      </c>
      <c r="J46" s="54">
        <f>+J64+K46-K64</f>
        <v>1500.8008365258902</v>
      </c>
      <c r="K46" s="54">
        <f>+$L46/$L64*K64</f>
        <v>5623.6558365258907</v>
      </c>
      <c r="L46" s="25">
        <f>+SUM(L60:L61)</f>
        <v>5704.0119999999997</v>
      </c>
      <c r="M46" s="54">
        <f>+(P46/P64*0.75+L46/L64*0.25)*M64</f>
        <v>9961.3020529548066</v>
      </c>
      <c r="N46" s="54">
        <f>+(P46/P64*0.5+L46/L64*0.5)*N64</f>
        <v>5976.4855535776296</v>
      </c>
      <c r="O46" s="54">
        <f>+(P46/P64*0.25+L46/L64*0.75)*O64</f>
        <v>4506.4246026771871</v>
      </c>
      <c r="P46" s="25">
        <f>+SUM(P60:P61)</f>
        <v>14299.800000000001</v>
      </c>
      <c r="Q46" s="54">
        <f>+(T46/T64*0.75+P46/P64*0.25)*Q64</f>
        <v>16829.699847685559</v>
      </c>
      <c r="R46" s="54">
        <f>+(T46/T64*0.5+P46/P64*0.5)*R64</f>
        <v>11952.864102167672</v>
      </c>
      <c r="S46" s="54">
        <f>+(T46/T64*0.25+P46/P64*0.75)*S64</f>
        <v>11156.02115964081</v>
      </c>
      <c r="T46" s="25">
        <f>+SUM(T60:T61)</f>
        <v>14615.757</v>
      </c>
      <c r="U46" s="54">
        <f>+(X46/X64*0.75+T46/T64*0.25)*U64</f>
        <v>18919.517684151131</v>
      </c>
      <c r="V46" s="54">
        <f>+(X46/X64*0.5+T46/T64*0.5)*V64</f>
        <v>25744.743067843876</v>
      </c>
      <c r="W46" s="54">
        <f>+(X46/X64*0.25+T46/T64*0.75)*W64</f>
        <v>32222.740534977547</v>
      </c>
      <c r="X46" s="25">
        <f>+SUM(X60:X61)</f>
        <v>45601.373999999996</v>
      </c>
      <c r="Y46" s="54">
        <f>+$X46/$X64*Y64</f>
        <v>53688.468797392168</v>
      </c>
      <c r="Z46" s="54">
        <f>+$X46/$X64*Z64</f>
        <v>64495.692578496339</v>
      </c>
      <c r="AA46" s="54">
        <f>+$X46/$X64*AA64</f>
        <v>70348.923478381956</v>
      </c>
    </row>
    <row r="47" spans="2:28" ht="10.15" x14ac:dyDescent="0.2">
      <c r="B47" s="4" t="s">
        <v>488</v>
      </c>
      <c r="D47" s="10">
        <f>SUM(D43:D46)</f>
        <v>38170.375</v>
      </c>
      <c r="E47" s="10">
        <f>SUM(E43:E46)</f>
        <v>44138.787000000004</v>
      </c>
      <c r="F47" s="10">
        <f t="shared" ref="F47:Z47" si="17">SUM(F43:F46)</f>
        <v>48599.587</v>
      </c>
      <c r="G47" s="10">
        <f t="shared" si="17"/>
        <v>58926.856</v>
      </c>
      <c r="H47" s="10">
        <f t="shared" si="17"/>
        <v>68634.683999999994</v>
      </c>
      <c r="I47" s="10">
        <f t="shared" si="17"/>
        <v>69547.597000000009</v>
      </c>
      <c r="J47" s="10">
        <f t="shared" si="17"/>
        <v>82979.76883652588</v>
      </c>
      <c r="K47" s="10">
        <f t="shared" si="17"/>
        <v>90011.504836525899</v>
      </c>
      <c r="L47" s="10">
        <f t="shared" si="17"/>
        <v>145098.74199999997</v>
      </c>
      <c r="M47" s="10">
        <f t="shared" si="17"/>
        <v>140614.83305295478</v>
      </c>
      <c r="N47" s="10">
        <f t="shared" si="17"/>
        <v>146371.83255357764</v>
      </c>
      <c r="O47" s="10">
        <f t="shared" si="17"/>
        <v>153654.41360267717</v>
      </c>
      <c r="P47" s="10">
        <f t="shared" si="17"/>
        <v>166860.389</v>
      </c>
      <c r="Q47" s="10">
        <f t="shared" si="17"/>
        <v>156779.55984768554</v>
      </c>
      <c r="R47" s="10">
        <f t="shared" si="17"/>
        <v>181139.46310216765</v>
      </c>
      <c r="S47" s="10">
        <f t="shared" si="17"/>
        <v>197773.9051596408</v>
      </c>
      <c r="T47" s="10">
        <f t="shared" si="17"/>
        <v>222028.72800000003</v>
      </c>
      <c r="U47" s="10">
        <f t="shared" si="17"/>
        <v>226853.07068415114</v>
      </c>
      <c r="V47" s="10">
        <f t="shared" si="17"/>
        <v>257308.46206784388</v>
      </c>
      <c r="W47" s="10">
        <f t="shared" si="17"/>
        <v>291482.90353497752</v>
      </c>
      <c r="X47" s="10">
        <f t="shared" si="17"/>
        <v>324796.64400000003</v>
      </c>
      <c r="Y47" s="10">
        <f t="shared" si="17"/>
        <v>354933.11779739213</v>
      </c>
      <c r="Z47" s="10">
        <f t="shared" si="17"/>
        <v>408783.47157849633</v>
      </c>
      <c r="AA47" s="10">
        <f t="shared" ref="AA47" si="18">SUM(AA43:AA46)</f>
        <v>439203.73947838193</v>
      </c>
    </row>
    <row r="48" spans="2:28" ht="10.15" x14ac:dyDescent="0.2">
      <c r="B48" s="4" t="s">
        <v>489</v>
      </c>
      <c r="D48" s="10">
        <f>+AVERAGE(B47:D47)</f>
        <v>38170.375</v>
      </c>
      <c r="E48" s="10">
        <f>+AVERAGE(C47:E47)</f>
        <v>41154.581000000006</v>
      </c>
      <c r="F48" s="10">
        <f t="shared" ref="F48:AA48" si="19">+AVERAGE(E47:F47)</f>
        <v>46369.187000000005</v>
      </c>
      <c r="G48" s="10">
        <f t="shared" si="19"/>
        <v>53763.2215</v>
      </c>
      <c r="H48" s="10">
        <f t="shared" si="19"/>
        <v>63780.77</v>
      </c>
      <c r="I48" s="10">
        <f t="shared" si="19"/>
        <v>69091.140500000009</v>
      </c>
      <c r="J48" s="10">
        <f t="shared" si="19"/>
        <v>76263.682918262944</v>
      </c>
      <c r="K48" s="10">
        <f t="shared" si="19"/>
        <v>86495.636836525897</v>
      </c>
      <c r="L48" s="10">
        <f t="shared" si="19"/>
        <v>117555.12341826293</v>
      </c>
      <c r="M48" s="10">
        <f t="shared" si="19"/>
        <v>142856.78752647736</v>
      </c>
      <c r="N48" s="10">
        <f t="shared" si="19"/>
        <v>143493.33280326621</v>
      </c>
      <c r="O48" s="10">
        <f t="shared" si="19"/>
        <v>150013.12307812739</v>
      </c>
      <c r="P48" s="10">
        <f t="shared" si="19"/>
        <v>160257.40130133857</v>
      </c>
      <c r="Q48" s="10">
        <f t="shared" si="19"/>
        <v>161819.97442384277</v>
      </c>
      <c r="R48" s="10">
        <f t="shared" si="19"/>
        <v>168959.51147492661</v>
      </c>
      <c r="S48" s="10">
        <f t="shared" si="19"/>
        <v>189456.68413090421</v>
      </c>
      <c r="T48" s="10">
        <f t="shared" si="19"/>
        <v>209901.31657982041</v>
      </c>
      <c r="U48" s="10">
        <f t="shared" si="19"/>
        <v>224440.89934207557</v>
      </c>
      <c r="V48" s="10">
        <f t="shared" si="19"/>
        <v>242080.76637599751</v>
      </c>
      <c r="W48" s="10">
        <f t="shared" si="19"/>
        <v>274395.68280141067</v>
      </c>
      <c r="X48" s="10">
        <f t="shared" si="19"/>
        <v>308139.77376748878</v>
      </c>
      <c r="Y48" s="10">
        <f t="shared" si="19"/>
        <v>339864.88089869608</v>
      </c>
      <c r="Z48" s="10">
        <f t="shared" si="19"/>
        <v>381858.29468794423</v>
      </c>
      <c r="AA48" s="10">
        <f t="shared" si="19"/>
        <v>423993.60552843916</v>
      </c>
    </row>
    <row r="49" spans="2:28" ht="10.15" hidden="1" outlineLevel="1" x14ac:dyDescent="0.2">
      <c r="B49" s="30"/>
    </row>
    <row r="50" spans="2:28" ht="10.15" hidden="1" outlineLevel="1" x14ac:dyDescent="0.2">
      <c r="B50" s="19" t="s">
        <v>65</v>
      </c>
    </row>
    <row r="51" spans="2:28" ht="10.15" hidden="1" outlineLevel="1" x14ac:dyDescent="0.2">
      <c r="B51" s="20" t="s">
        <v>482</v>
      </c>
      <c r="E51" s="229" t="s">
        <v>64</v>
      </c>
      <c r="F51" s="229" t="s">
        <v>64</v>
      </c>
      <c r="G51" s="229" t="s">
        <v>64</v>
      </c>
      <c r="H51" s="224">
        <v>0</v>
      </c>
      <c r="I51" s="229" t="s">
        <v>64</v>
      </c>
      <c r="J51" s="229" t="s">
        <v>64</v>
      </c>
      <c r="K51" s="229" t="s">
        <v>64</v>
      </c>
      <c r="L51" s="174">
        <v>2217.8879999999999</v>
      </c>
      <c r="M51" s="229" t="s">
        <v>64</v>
      </c>
      <c r="N51" s="229" t="s">
        <v>64</v>
      </c>
      <c r="O51" s="229" t="s">
        <v>64</v>
      </c>
      <c r="P51" s="174">
        <v>8936.4240000000009</v>
      </c>
      <c r="Q51" s="229" t="s">
        <v>64</v>
      </c>
      <c r="R51" s="229" t="s">
        <v>64</v>
      </c>
      <c r="S51" s="229" t="s">
        <v>64</v>
      </c>
      <c r="T51" s="174">
        <v>5536.768</v>
      </c>
      <c r="U51" s="229" t="s">
        <v>64</v>
      </c>
      <c r="V51" s="229" t="s">
        <v>64</v>
      </c>
      <c r="W51" s="229" t="s">
        <v>64</v>
      </c>
      <c r="X51" s="174">
        <v>11510.069</v>
      </c>
      <c r="Y51" s="229" t="s">
        <v>64</v>
      </c>
      <c r="Z51" s="229" t="s">
        <v>64</v>
      </c>
      <c r="AA51" s="229" t="s">
        <v>64</v>
      </c>
      <c r="AB51" s="33"/>
    </row>
    <row r="52" spans="2:28" ht="12" hidden="1" outlineLevel="1" x14ac:dyDescent="0.35">
      <c r="B52" s="20" t="s">
        <v>483</v>
      </c>
      <c r="E52" s="230" t="s">
        <v>64</v>
      </c>
      <c r="F52" s="230" t="s">
        <v>64</v>
      </c>
      <c r="G52" s="230" t="s">
        <v>64</v>
      </c>
      <c r="H52" s="233">
        <v>0</v>
      </c>
      <c r="I52" s="230" t="s">
        <v>64</v>
      </c>
      <c r="J52" s="230" t="s">
        <v>64</v>
      </c>
      <c r="K52" s="230" t="s">
        <v>64</v>
      </c>
      <c r="L52" s="227">
        <v>2097.2080000000001</v>
      </c>
      <c r="M52" s="230" t="s">
        <v>64</v>
      </c>
      <c r="N52" s="230" t="s">
        <v>64</v>
      </c>
      <c r="O52" s="230" t="s">
        <v>64</v>
      </c>
      <c r="P52" s="227">
        <v>4072.4749999999999</v>
      </c>
      <c r="Q52" s="230" t="s">
        <v>64</v>
      </c>
      <c r="R52" s="230" t="s">
        <v>64</v>
      </c>
      <c r="S52" s="230" t="s">
        <v>64</v>
      </c>
      <c r="T52" s="227">
        <v>5503.5150000000003</v>
      </c>
      <c r="U52" s="230" t="s">
        <v>64</v>
      </c>
      <c r="V52" s="230" t="s">
        <v>64</v>
      </c>
      <c r="W52" s="230" t="s">
        <v>64</v>
      </c>
      <c r="X52" s="227">
        <v>17274.928</v>
      </c>
      <c r="Y52" s="230" t="s">
        <v>64</v>
      </c>
      <c r="Z52" s="230" t="s">
        <v>64</v>
      </c>
      <c r="AA52" s="230" t="s">
        <v>64</v>
      </c>
      <c r="AB52" s="33"/>
    </row>
    <row r="53" spans="2:28" ht="10.15" hidden="1" outlineLevel="1" x14ac:dyDescent="0.2">
      <c r="B53" s="30" t="s">
        <v>478</v>
      </c>
      <c r="E53" s="147" t="str">
        <f>+IFERROR(E51+E52,"n/a")</f>
        <v>n/a</v>
      </c>
      <c r="F53" s="147" t="str">
        <f t="shared" ref="F53:G53" si="20">+IFERROR(F51+F52,"n/a")</f>
        <v>n/a</v>
      </c>
      <c r="G53" s="147" t="str">
        <f t="shared" si="20"/>
        <v>n/a</v>
      </c>
      <c r="H53" s="147">
        <f>+IFERROR(H51+H52,"n/a")</f>
        <v>0</v>
      </c>
      <c r="I53" s="147" t="str">
        <f>+IFERROR(I51+I52,"n/a")</f>
        <v>n/a</v>
      </c>
      <c r="J53" s="147" t="str">
        <f t="shared" ref="J53:K53" si="21">+IFERROR(J51+J52,"n/a")</f>
        <v>n/a</v>
      </c>
      <c r="K53" s="147" t="str">
        <f t="shared" si="21"/>
        <v>n/a</v>
      </c>
      <c r="L53" s="147">
        <f>+IFERROR(L51+L52,"n/a")</f>
        <v>4315.0959999999995</v>
      </c>
      <c r="M53" s="147" t="str">
        <f>+IFERROR(M51+M52,"n/a")</f>
        <v>n/a</v>
      </c>
      <c r="N53" s="147" t="str">
        <f t="shared" ref="N53:O53" si="22">+IFERROR(N51+N52,"n/a")</f>
        <v>n/a</v>
      </c>
      <c r="O53" s="147" t="str">
        <f t="shared" si="22"/>
        <v>n/a</v>
      </c>
      <c r="P53" s="147">
        <f>+IFERROR(P51+P52,"n/a")</f>
        <v>13008.899000000001</v>
      </c>
      <c r="Q53" s="147" t="str">
        <f>+IFERROR(Q51+Q52,"n/a")</f>
        <v>n/a</v>
      </c>
      <c r="R53" s="147" t="str">
        <f t="shared" ref="R53:S53" si="23">+IFERROR(R51+R52,"n/a")</f>
        <v>n/a</v>
      </c>
      <c r="S53" s="147" t="str">
        <f t="shared" si="23"/>
        <v>n/a</v>
      </c>
      <c r="T53" s="147">
        <f>+IFERROR(T51+T52,"n/a")</f>
        <v>11040.282999999999</v>
      </c>
      <c r="U53" s="147" t="str">
        <f>+IFERROR(U51+U52,"n/a")</f>
        <v>n/a</v>
      </c>
      <c r="V53" s="147" t="str">
        <f t="shared" ref="V53:Z53" si="24">+IFERROR(V51+V52,"n/a")</f>
        <v>n/a</v>
      </c>
      <c r="W53" s="147" t="str">
        <f t="shared" si="24"/>
        <v>n/a</v>
      </c>
      <c r="X53" s="147">
        <f>+IFERROR(X51+X52,"n/a")</f>
        <v>28784.996999999999</v>
      </c>
      <c r="Y53" s="147" t="str">
        <f t="shared" si="24"/>
        <v>n/a</v>
      </c>
      <c r="Z53" s="147" t="str">
        <f t="shared" si="24"/>
        <v>n/a</v>
      </c>
      <c r="AA53" s="147" t="str">
        <f t="shared" ref="AA53" si="25">+IFERROR(AA51+AA52,"n/a")</f>
        <v>n/a</v>
      </c>
    </row>
    <row r="54" spans="2:28" ht="10.15" hidden="1" outlineLevel="1" x14ac:dyDescent="0.2">
      <c r="B54" s="20"/>
    </row>
    <row r="55" spans="2:28" ht="10.15" hidden="1" outlineLevel="1" x14ac:dyDescent="0.2">
      <c r="B55" s="20" t="s">
        <v>493</v>
      </c>
      <c r="E55" s="229" t="s">
        <v>64</v>
      </c>
      <c r="F55" s="229" t="s">
        <v>64</v>
      </c>
      <c r="G55" s="229" t="s">
        <v>64</v>
      </c>
      <c r="H55" s="224">
        <v>0</v>
      </c>
      <c r="I55" s="229" t="s">
        <v>64</v>
      </c>
      <c r="J55" s="229" t="s">
        <v>64</v>
      </c>
      <c r="K55" s="229" t="s">
        <v>64</v>
      </c>
      <c r="L55" s="174">
        <v>1388.9159999999999</v>
      </c>
      <c r="M55" s="229" t="s">
        <v>64</v>
      </c>
      <c r="N55" s="229" t="s">
        <v>64</v>
      </c>
      <c r="O55" s="229" t="s">
        <v>64</v>
      </c>
      <c r="P55" s="174">
        <v>1290.9010000000001</v>
      </c>
      <c r="Q55" s="229" t="s">
        <v>64</v>
      </c>
      <c r="R55" s="229" t="s">
        <v>64</v>
      </c>
      <c r="S55" s="229" t="s">
        <v>64</v>
      </c>
      <c r="T55" s="174">
        <v>0</v>
      </c>
      <c r="U55" s="229" t="s">
        <v>64</v>
      </c>
      <c r="V55" s="229" t="s">
        <v>64</v>
      </c>
      <c r="W55" s="229" t="s">
        <v>64</v>
      </c>
      <c r="X55" s="174">
        <v>0</v>
      </c>
      <c r="Y55" s="229" t="s">
        <v>64</v>
      </c>
      <c r="Z55" s="229" t="s">
        <v>64</v>
      </c>
      <c r="AA55" s="229" t="s">
        <v>64</v>
      </c>
    </row>
    <row r="56" spans="2:28" ht="10.15" hidden="1" outlineLevel="1" x14ac:dyDescent="0.2">
      <c r="B56" s="20" t="s">
        <v>480</v>
      </c>
      <c r="E56" s="229" t="s">
        <v>64</v>
      </c>
      <c r="F56" s="229" t="s">
        <v>64</v>
      </c>
      <c r="G56" s="229" t="s">
        <v>64</v>
      </c>
      <c r="H56" s="224">
        <v>0</v>
      </c>
      <c r="I56" s="229" t="s">
        <v>64</v>
      </c>
      <c r="J56" s="229" t="s">
        <v>64</v>
      </c>
      <c r="K56" s="229" t="s">
        <v>64</v>
      </c>
      <c r="L56" s="174">
        <v>0</v>
      </c>
      <c r="M56" s="229" t="s">
        <v>64</v>
      </c>
      <c r="N56" s="229" t="s">
        <v>64</v>
      </c>
      <c r="O56" s="229" t="s">
        <v>64</v>
      </c>
      <c r="P56" s="174">
        <v>0</v>
      </c>
      <c r="Q56" s="229" t="s">
        <v>64</v>
      </c>
      <c r="R56" s="229" t="s">
        <v>64</v>
      </c>
      <c r="S56" s="229" t="s">
        <v>64</v>
      </c>
      <c r="T56" s="174">
        <v>0</v>
      </c>
      <c r="U56" s="229" t="s">
        <v>64</v>
      </c>
      <c r="V56" s="229" t="s">
        <v>64</v>
      </c>
      <c r="W56" s="229" t="s">
        <v>64</v>
      </c>
      <c r="X56" s="174">
        <v>14184.550999999999</v>
      </c>
      <c r="Y56" s="229" t="s">
        <v>64</v>
      </c>
      <c r="Z56" s="229" t="s">
        <v>64</v>
      </c>
      <c r="AA56" s="229" t="s">
        <v>64</v>
      </c>
      <c r="AB56" s="33"/>
    </row>
    <row r="57" spans="2:28" ht="12" hidden="1" outlineLevel="1" x14ac:dyDescent="0.35">
      <c r="B57" s="20" t="s">
        <v>481</v>
      </c>
      <c r="E57" s="230" t="s">
        <v>64</v>
      </c>
      <c r="F57" s="230" t="s">
        <v>64</v>
      </c>
      <c r="G57" s="230" t="s">
        <v>64</v>
      </c>
      <c r="H57" s="233">
        <v>0</v>
      </c>
      <c r="I57" s="230" t="s">
        <v>64</v>
      </c>
      <c r="J57" s="230" t="s">
        <v>64</v>
      </c>
      <c r="K57" s="230" t="s">
        <v>64</v>
      </c>
      <c r="L57" s="227">
        <v>0</v>
      </c>
      <c r="M57" s="230" t="s">
        <v>64</v>
      </c>
      <c r="N57" s="230" t="s">
        <v>64</v>
      </c>
      <c r="O57" s="230" t="s">
        <v>64</v>
      </c>
      <c r="P57" s="227">
        <v>0</v>
      </c>
      <c r="Q57" s="230" t="s">
        <v>64</v>
      </c>
      <c r="R57" s="230" t="s">
        <v>64</v>
      </c>
      <c r="S57" s="230" t="s">
        <v>64</v>
      </c>
      <c r="T57" s="227">
        <v>3575.4740000000002</v>
      </c>
      <c r="U57" s="230" t="s">
        <v>64</v>
      </c>
      <c r="V57" s="230" t="s">
        <v>64</v>
      </c>
      <c r="W57" s="230" t="s">
        <v>64</v>
      </c>
      <c r="X57" s="227">
        <v>2631.826</v>
      </c>
      <c r="Y57" s="230" t="s">
        <v>64</v>
      </c>
      <c r="Z57" s="230" t="s">
        <v>64</v>
      </c>
      <c r="AA57" s="230" t="s">
        <v>64</v>
      </c>
      <c r="AB57" s="33"/>
    </row>
    <row r="58" spans="2:28" ht="10.15" hidden="1" outlineLevel="1" x14ac:dyDescent="0.2">
      <c r="B58" s="30" t="s">
        <v>479</v>
      </c>
      <c r="E58" s="147" t="str">
        <f t="shared" ref="E58:G58" si="26">+IFERROR(E56+E57+E55,"n/a")</f>
        <v>n/a</v>
      </c>
      <c r="F58" s="147" t="str">
        <f t="shared" si="26"/>
        <v>n/a</v>
      </c>
      <c r="G58" s="147" t="str">
        <f t="shared" si="26"/>
        <v>n/a</v>
      </c>
      <c r="H58" s="147">
        <f t="shared" ref="H58:I58" si="27">+IFERROR(H56+H57+H55,"n/a")</f>
        <v>0</v>
      </c>
      <c r="I58" s="147" t="str">
        <f t="shared" si="27"/>
        <v>n/a</v>
      </c>
      <c r="J58" s="147" t="str">
        <f t="shared" ref="J58" si="28">+IFERROR(J56+J57+J55,"n/a")</f>
        <v>n/a</v>
      </c>
      <c r="K58" s="147" t="str">
        <f t="shared" ref="K58" si="29">+IFERROR(K56+K57+K55,"n/a")</f>
        <v>n/a</v>
      </c>
      <c r="L58" s="147">
        <f t="shared" ref="L58:M58" si="30">+IFERROR(L56+L57+L55,"n/a")</f>
        <v>1388.9159999999999</v>
      </c>
      <c r="M58" s="147" t="str">
        <f t="shared" si="30"/>
        <v>n/a</v>
      </c>
      <c r="N58" s="147" t="str">
        <f t="shared" ref="N58" si="31">+IFERROR(N56+N57+N55,"n/a")</f>
        <v>n/a</v>
      </c>
      <c r="O58" s="147" t="str">
        <f t="shared" ref="O58" si="32">+IFERROR(O56+O57+O55,"n/a")</f>
        <v>n/a</v>
      </c>
      <c r="P58" s="147">
        <f t="shared" ref="P58:S58" si="33">+IFERROR(P56+P57+P55,"n/a")</f>
        <v>1290.9010000000001</v>
      </c>
      <c r="Q58" s="147" t="str">
        <f t="shared" si="33"/>
        <v>n/a</v>
      </c>
      <c r="R58" s="147" t="str">
        <f t="shared" si="33"/>
        <v>n/a</v>
      </c>
      <c r="S58" s="147" t="str">
        <f t="shared" si="33"/>
        <v>n/a</v>
      </c>
      <c r="T58" s="147">
        <f>+IFERROR(T56+T57+T55,"n/a")</f>
        <v>3575.4740000000002</v>
      </c>
      <c r="U58" s="147" t="str">
        <f t="shared" ref="U58:Z58" si="34">+IFERROR(U56+U57+U55,"n/a")</f>
        <v>n/a</v>
      </c>
      <c r="V58" s="147" t="str">
        <f t="shared" si="34"/>
        <v>n/a</v>
      </c>
      <c r="W58" s="147" t="str">
        <f t="shared" si="34"/>
        <v>n/a</v>
      </c>
      <c r="X58" s="147">
        <f t="shared" si="34"/>
        <v>16816.377</v>
      </c>
      <c r="Y58" s="147" t="str">
        <f t="shared" si="34"/>
        <v>n/a</v>
      </c>
      <c r="Z58" s="147" t="str">
        <f t="shared" si="34"/>
        <v>n/a</v>
      </c>
      <c r="AA58" s="147" t="str">
        <f t="shared" ref="AA58" si="35">+IFERROR(AA56+AA57+AA55,"n/a")</f>
        <v>n/a</v>
      </c>
      <c r="AB58" s="237"/>
    </row>
    <row r="59" spans="2:28" ht="10.15" hidden="1" outlineLevel="1" x14ac:dyDescent="0.2">
      <c r="B59" s="20"/>
      <c r="E59" s="55"/>
      <c r="F59" s="55"/>
      <c r="G59" s="55"/>
      <c r="H59" s="55"/>
      <c r="I59" s="55"/>
      <c r="J59" s="55"/>
      <c r="K59" s="55"/>
      <c r="M59" s="55"/>
      <c r="N59" s="55"/>
      <c r="O59" s="55"/>
      <c r="Q59" s="55"/>
      <c r="R59" s="55"/>
      <c r="S59" s="55"/>
      <c r="T59" s="174"/>
      <c r="U59" s="55"/>
      <c r="V59" s="55"/>
      <c r="W59" s="55"/>
      <c r="Y59" s="55"/>
      <c r="Z59" s="55"/>
      <c r="AA59" s="55"/>
    </row>
    <row r="60" spans="2:28" ht="10.15" hidden="1" outlineLevel="1" x14ac:dyDescent="0.2">
      <c r="B60" s="20" t="s">
        <v>478</v>
      </c>
      <c r="E60" s="147" t="str">
        <f>+E53</f>
        <v>n/a</v>
      </c>
      <c r="F60" s="147" t="str">
        <f t="shared" ref="F60:G60" si="36">+F53</f>
        <v>n/a</v>
      </c>
      <c r="G60" s="147" t="str">
        <f t="shared" si="36"/>
        <v>n/a</v>
      </c>
      <c r="H60" s="147">
        <f>+H53</f>
        <v>0</v>
      </c>
      <c r="I60" s="147" t="str">
        <f>+I53</f>
        <v>n/a</v>
      </c>
      <c r="J60" s="147" t="str">
        <f t="shared" ref="J60:K60" si="37">+J53</f>
        <v>n/a</v>
      </c>
      <c r="K60" s="147" t="str">
        <f t="shared" si="37"/>
        <v>n/a</v>
      </c>
      <c r="L60" s="53">
        <f>+L53</f>
        <v>4315.0959999999995</v>
      </c>
      <c r="M60" s="147" t="str">
        <f>+M53</f>
        <v>n/a</v>
      </c>
      <c r="N60" s="147" t="str">
        <f t="shared" ref="N60:O60" si="38">+N53</f>
        <v>n/a</v>
      </c>
      <c r="O60" s="147" t="str">
        <f t="shared" si="38"/>
        <v>n/a</v>
      </c>
      <c r="P60" s="53">
        <f>+P53</f>
        <v>13008.899000000001</v>
      </c>
      <c r="Q60" s="147" t="str">
        <f>+Q53</f>
        <v>n/a</v>
      </c>
      <c r="R60" s="147" t="str">
        <f t="shared" ref="R60:S60" si="39">+R53</f>
        <v>n/a</v>
      </c>
      <c r="S60" s="147" t="str">
        <f t="shared" si="39"/>
        <v>n/a</v>
      </c>
      <c r="T60" s="53">
        <f>+T53</f>
        <v>11040.282999999999</v>
      </c>
      <c r="U60" s="147" t="str">
        <f>+U53</f>
        <v>n/a</v>
      </c>
      <c r="V60" s="147" t="str">
        <f t="shared" ref="V60:W60" si="40">+V53</f>
        <v>n/a</v>
      </c>
      <c r="W60" s="147" t="str">
        <f t="shared" si="40"/>
        <v>n/a</v>
      </c>
      <c r="X60" s="53">
        <f>+X53</f>
        <v>28784.996999999999</v>
      </c>
      <c r="Y60" s="147" t="str">
        <f t="shared" ref="Y60:Z60" si="41">+Y53</f>
        <v>n/a</v>
      </c>
      <c r="Z60" s="147" t="str">
        <f t="shared" si="41"/>
        <v>n/a</v>
      </c>
      <c r="AA60" s="147" t="str">
        <f t="shared" ref="AA60" si="42">+AA53</f>
        <v>n/a</v>
      </c>
    </row>
    <row r="61" spans="2:28" ht="10.15" hidden="1" outlineLevel="1" x14ac:dyDescent="0.2">
      <c r="B61" s="20" t="s">
        <v>479</v>
      </c>
      <c r="E61" s="147" t="str">
        <f>+E58</f>
        <v>n/a</v>
      </c>
      <c r="F61" s="147" t="str">
        <f t="shared" ref="F61:G61" si="43">+F58</f>
        <v>n/a</v>
      </c>
      <c r="G61" s="147" t="str">
        <f t="shared" si="43"/>
        <v>n/a</v>
      </c>
      <c r="H61" s="147">
        <f>+H58</f>
        <v>0</v>
      </c>
      <c r="I61" s="147" t="str">
        <f>+I58</f>
        <v>n/a</v>
      </c>
      <c r="J61" s="147" t="str">
        <f t="shared" ref="J61:K61" si="44">+J58</f>
        <v>n/a</v>
      </c>
      <c r="K61" s="147" t="str">
        <f t="shared" si="44"/>
        <v>n/a</v>
      </c>
      <c r="L61" s="53">
        <f>+L58</f>
        <v>1388.9159999999999</v>
      </c>
      <c r="M61" s="147" t="str">
        <f>+M58</f>
        <v>n/a</v>
      </c>
      <c r="N61" s="147" t="str">
        <f t="shared" ref="N61:O61" si="45">+N58</f>
        <v>n/a</v>
      </c>
      <c r="O61" s="147" t="str">
        <f t="shared" si="45"/>
        <v>n/a</v>
      </c>
      <c r="P61" s="53">
        <f>+P58</f>
        <v>1290.9010000000001</v>
      </c>
      <c r="Q61" s="147" t="str">
        <f>+Q58</f>
        <v>n/a</v>
      </c>
      <c r="R61" s="147" t="str">
        <f t="shared" ref="R61:S61" si="46">+R58</f>
        <v>n/a</v>
      </c>
      <c r="S61" s="147" t="str">
        <f t="shared" si="46"/>
        <v>n/a</v>
      </c>
      <c r="T61" s="53">
        <f>+T58</f>
        <v>3575.4740000000002</v>
      </c>
      <c r="U61" s="147" t="str">
        <f>+U58</f>
        <v>n/a</v>
      </c>
      <c r="V61" s="147" t="str">
        <f t="shared" ref="V61:W61" si="47">+V58</f>
        <v>n/a</v>
      </c>
      <c r="W61" s="147" t="str">
        <f t="shared" si="47"/>
        <v>n/a</v>
      </c>
      <c r="X61" s="53">
        <f>+X58</f>
        <v>16816.377</v>
      </c>
      <c r="Y61" s="147" t="str">
        <f t="shared" ref="Y61:Z61" si="48">+Y58</f>
        <v>n/a</v>
      </c>
      <c r="Z61" s="147" t="str">
        <f t="shared" si="48"/>
        <v>n/a</v>
      </c>
      <c r="AA61" s="147" t="str">
        <f t="shared" ref="AA61" si="49">+AA58</f>
        <v>n/a</v>
      </c>
    </row>
    <row r="62" spans="2:28" ht="10.15" hidden="1" outlineLevel="1" x14ac:dyDescent="0.2">
      <c r="B62" s="20" t="s">
        <v>485</v>
      </c>
      <c r="E62" s="229" t="s">
        <v>64</v>
      </c>
      <c r="F62" s="229" t="s">
        <v>64</v>
      </c>
      <c r="G62" s="229" t="s">
        <v>64</v>
      </c>
      <c r="H62" s="224">
        <v>0</v>
      </c>
      <c r="I62" s="229" t="s">
        <v>64</v>
      </c>
      <c r="J62" s="229" t="s">
        <v>64</v>
      </c>
      <c r="K62" s="229" t="s">
        <v>64</v>
      </c>
      <c r="L62" s="174">
        <v>1135.1410000000001</v>
      </c>
      <c r="M62" s="229" t="s">
        <v>64</v>
      </c>
      <c r="N62" s="229" t="s">
        <v>64</v>
      </c>
      <c r="O62" s="229" t="s">
        <v>64</v>
      </c>
      <c r="P62" s="174">
        <v>1968.1559999999999</v>
      </c>
      <c r="Q62" s="229" t="s">
        <v>64</v>
      </c>
      <c r="R62" s="229" t="s">
        <v>64</v>
      </c>
      <c r="S62" s="229" t="s">
        <v>64</v>
      </c>
      <c r="T62" s="174">
        <v>2049.616</v>
      </c>
      <c r="U62" s="229" t="s">
        <v>64</v>
      </c>
      <c r="V62" s="229" t="s">
        <v>64</v>
      </c>
      <c r="W62" s="229" t="s">
        <v>64</v>
      </c>
      <c r="X62" s="174">
        <v>1922.9880000000001</v>
      </c>
      <c r="Y62" s="229" t="s">
        <v>64</v>
      </c>
      <c r="Z62" s="229" t="s">
        <v>64</v>
      </c>
      <c r="AA62" s="229" t="s">
        <v>64</v>
      </c>
    </row>
    <row r="63" spans="2:28" ht="12" hidden="1" outlineLevel="1" x14ac:dyDescent="0.35">
      <c r="B63" s="20" t="s">
        <v>96</v>
      </c>
      <c r="E63" s="231" t="str">
        <f>+IFERROR(E64-E60-E61-E62,"n/a")</f>
        <v>n/a</v>
      </c>
      <c r="F63" s="231" t="str">
        <f t="shared" ref="F63:G63" si="50">+IFERROR(F64-F60-F61-F62,"n/a")</f>
        <v>n/a</v>
      </c>
      <c r="G63" s="231" t="str">
        <f t="shared" si="50"/>
        <v>n/a</v>
      </c>
      <c r="H63" s="231">
        <f>+IFERROR(H64-H60-H61-H62,"n/a")</f>
        <v>503.12</v>
      </c>
      <c r="I63" s="231" t="str">
        <f>+IFERROR(I64-I60-I61-I62,"n/a")</f>
        <v>n/a</v>
      </c>
      <c r="J63" s="231" t="str">
        <f t="shared" ref="J63:K63" si="51">+IFERROR(J64-J60-J61-J62,"n/a")</f>
        <v>n/a</v>
      </c>
      <c r="K63" s="231" t="str">
        <f t="shared" si="51"/>
        <v>n/a</v>
      </c>
      <c r="L63" s="228">
        <f>+IFERROR(L64-L60-L61-L62,"n/a")</f>
        <v>436.15200000000073</v>
      </c>
      <c r="M63" s="231" t="str">
        <f>+IFERROR(M64-M60-M61-M62,"n/a")</f>
        <v>n/a</v>
      </c>
      <c r="N63" s="231" t="str">
        <f t="shared" ref="N63:O63" si="52">+IFERROR(N64-N60-N61-N62,"n/a")</f>
        <v>n/a</v>
      </c>
      <c r="O63" s="231" t="str">
        <f t="shared" si="52"/>
        <v>n/a</v>
      </c>
      <c r="P63" s="228">
        <f>+IFERROR(P64-P60-P61-P62,"n/a")</f>
        <v>158.00999999999931</v>
      </c>
      <c r="Q63" s="231" t="str">
        <f>+IFERROR(Q64-Q60-Q61-Q62,"n/a")</f>
        <v>n/a</v>
      </c>
      <c r="R63" s="231" t="str">
        <f t="shared" ref="R63:S63" si="53">+IFERROR(R64-R60-R61-R62,"n/a")</f>
        <v>n/a</v>
      </c>
      <c r="S63" s="231" t="str">
        <f t="shared" si="53"/>
        <v>n/a</v>
      </c>
      <c r="T63" s="228">
        <f>+IFERROR(T64-T60-T61-T62,"n/a")</f>
        <v>196.74399999999878</v>
      </c>
      <c r="U63" s="231" t="str">
        <f>+IFERROR(U64-U60-U61-U62,"n/a")</f>
        <v>n/a</v>
      </c>
      <c r="V63" s="231" t="str">
        <f t="shared" ref="V63:Z63" si="54">+IFERROR(V64-V60-V61-V62,"n/a")</f>
        <v>n/a</v>
      </c>
      <c r="W63" s="231" t="str">
        <f t="shared" si="54"/>
        <v>n/a</v>
      </c>
      <c r="X63" s="231">
        <f>+IFERROR(X64-X60-X61-X62,"n/a")</f>
        <v>426.91399999999817</v>
      </c>
      <c r="Y63" s="231" t="str">
        <f t="shared" si="54"/>
        <v>n/a</v>
      </c>
      <c r="Z63" s="231" t="str">
        <f t="shared" si="54"/>
        <v>n/a</v>
      </c>
      <c r="AA63" s="231" t="str">
        <f t="shared" ref="AA63" si="55">+IFERROR(AA64-AA60-AA61-AA62,"n/a")</f>
        <v>n/a</v>
      </c>
    </row>
    <row r="64" spans="2:28" ht="10.15" hidden="1" outlineLevel="1" x14ac:dyDescent="0.2">
      <c r="B64" s="30" t="s">
        <v>484</v>
      </c>
      <c r="E64" s="192">
        <f>+'Historical Financials'!L814</f>
        <v>340.81900000000002</v>
      </c>
      <c r="F64" s="192">
        <f>+'Historical Financials'!M814</f>
        <v>436.93799999999999</v>
      </c>
      <c r="G64" s="192">
        <f>+'Historical Financials'!N814</f>
        <v>449.99</v>
      </c>
      <c r="H64" s="192">
        <f>+'Historical Financials'!O814</f>
        <v>503.12</v>
      </c>
      <c r="I64" s="192">
        <f>+'Historical Financials'!P814</f>
        <v>691.99400000000003</v>
      </c>
      <c r="J64" s="192">
        <f>+'Historical Financials'!Q814</f>
        <v>3049.9580000000001</v>
      </c>
      <c r="K64" s="192">
        <f>+'Historical Financials'!R814</f>
        <v>7172.8130000000001</v>
      </c>
      <c r="L64" s="192">
        <f>+'Historical Financials'!S814</f>
        <v>7275.3050000000003</v>
      </c>
      <c r="M64" s="192">
        <f>+'Historical Financials'!T814</f>
        <v>11733.999</v>
      </c>
      <c r="N64" s="192">
        <f>+'Historical Financials'!U814</f>
        <v>7224.1530000000002</v>
      </c>
      <c r="O64" s="192">
        <f>+'Historical Financials'!V814</f>
        <v>5593.4709999999995</v>
      </c>
      <c r="P64" s="192">
        <f>+'Historical Financials'!W814</f>
        <v>16425.966</v>
      </c>
      <c r="Q64" s="192">
        <f>+'Historical Financials'!X814</f>
        <v>19395.185000000001</v>
      </c>
      <c r="R64" s="192">
        <f>+'Historical Financials'!Y814</f>
        <v>13759.949000000001</v>
      </c>
      <c r="S64" s="192">
        <f>+'Historical Financials'!Z814</f>
        <v>12828.68</v>
      </c>
      <c r="T64" s="192">
        <f>+'Historical Financials'!AA814</f>
        <v>16862.116999999998</v>
      </c>
      <c r="U64" s="232">
        <f>+'Historical Financials'!AB814</f>
        <v>20344.866000000002</v>
      </c>
      <c r="V64" s="192">
        <f>+'Historical Financials'!AC814</f>
        <v>28325.561000000002</v>
      </c>
      <c r="W64" s="192">
        <f>+'Historical Financials'!AD814</f>
        <v>36293.654999999999</v>
      </c>
      <c r="X64" s="192">
        <f>+'Historical Financials'!AE814</f>
        <v>47951.275999999998</v>
      </c>
      <c r="Y64" s="192">
        <f>+'Historical Financials'!AF814</f>
        <v>56455.11</v>
      </c>
      <c r="Z64" s="192">
        <f>+'Historical Financials'!AG814</f>
        <v>67819.244999999995</v>
      </c>
      <c r="AA64" s="192">
        <f>+'Historical Financials'!AH814</f>
        <v>73974.100999999995</v>
      </c>
    </row>
    <row r="65" spans="1:30" ht="10.15" collapsed="1" x14ac:dyDescent="0.2">
      <c r="B65" s="30"/>
      <c r="E65" s="192"/>
      <c r="F65" s="192"/>
      <c r="G65" s="192"/>
      <c r="H65" s="192"/>
      <c r="I65" s="192"/>
      <c r="J65" s="192"/>
      <c r="K65" s="192"/>
      <c r="L65" s="192"/>
      <c r="M65" s="192"/>
      <c r="N65" s="192"/>
      <c r="O65" s="192"/>
      <c r="P65" s="192"/>
      <c r="Q65" s="192"/>
      <c r="R65" s="192"/>
      <c r="S65" s="192"/>
      <c r="T65" s="192"/>
      <c r="U65" s="232"/>
      <c r="V65" s="192"/>
      <c r="W65" s="192"/>
      <c r="X65" s="192"/>
      <c r="Y65" s="192"/>
      <c r="Z65" s="192"/>
      <c r="AA65" s="192"/>
    </row>
    <row r="66" spans="1:30" ht="10.15" x14ac:dyDescent="0.2">
      <c r="B66" s="6" t="s">
        <v>514</v>
      </c>
      <c r="C66" s="5"/>
      <c r="E66" s="243"/>
      <c r="F66" s="243"/>
      <c r="G66" s="243"/>
      <c r="H66" s="241"/>
      <c r="I66" s="241"/>
      <c r="J66" s="241"/>
      <c r="K66" s="241"/>
      <c r="L66" s="241"/>
      <c r="M66" s="241"/>
      <c r="N66" s="241"/>
      <c r="O66" s="241"/>
      <c r="P66" s="241"/>
      <c r="Q66" s="241"/>
      <c r="R66" s="241"/>
      <c r="S66" s="241"/>
      <c r="T66" s="241"/>
      <c r="U66" s="241"/>
      <c r="V66" s="241"/>
      <c r="W66" s="241"/>
      <c r="X66" s="241"/>
      <c r="Y66" s="241"/>
      <c r="Z66" s="241"/>
      <c r="AA66" s="241"/>
      <c r="AD66" s="243"/>
    </row>
    <row r="67" spans="1:30" ht="10.15" x14ac:dyDescent="0.2">
      <c r="B67" s="20"/>
    </row>
    <row r="68" spans="1:30" ht="10.15" x14ac:dyDescent="0.2">
      <c r="A68">
        <v>1</v>
      </c>
      <c r="B68" s="184" t="s">
        <v>506</v>
      </c>
      <c r="E68" s="246">
        <v>2.1348699999999998E-2</v>
      </c>
      <c r="F68" s="246">
        <v>2.1066145161290302E-2</v>
      </c>
      <c r="G68" s="246">
        <v>2.1496530303030302E-2</v>
      </c>
      <c r="H68" s="246">
        <v>2.0893822580645201E-2</v>
      </c>
      <c r="I68" s="246">
        <v>1.6489474576271198E-2</v>
      </c>
      <c r="J68" s="246">
        <v>1.18929193548387E-2</v>
      </c>
      <c r="K68" s="246">
        <v>1.87039701492537E-2</v>
      </c>
      <c r="L68" s="246">
        <v>1.9046459016393399E-2</v>
      </c>
      <c r="M68" s="246">
        <v>1.8867166666666699E-2</v>
      </c>
      <c r="N68" s="246">
        <v>1.7729435483871001E-2</v>
      </c>
      <c r="O68" s="246">
        <v>1.7358954545454598E-2</v>
      </c>
      <c r="P68" s="246">
        <v>1.85622741935484E-2</v>
      </c>
      <c r="Q68" s="246">
        <v>1.7914616666666702E-2</v>
      </c>
      <c r="R68" s="246">
        <v>1.5138661290322599E-2</v>
      </c>
      <c r="S68" s="246">
        <v>1.3086446153846201E-2</v>
      </c>
      <c r="T68" s="246">
        <v>1.5408693548387101E-2</v>
      </c>
      <c r="U68" s="246">
        <v>1.81929344262295E-2</v>
      </c>
      <c r="V68" s="246">
        <v>1.7212354838709702E-2</v>
      </c>
      <c r="W68" s="246">
        <v>1.5935624999999998E-2</v>
      </c>
      <c r="X68" s="246">
        <v>1.85082096774194E-2</v>
      </c>
      <c r="Y68" s="246">
        <v>1.6548950819672101E-2</v>
      </c>
      <c r="Z68" s="246">
        <v>1.4920774193548401E-2</v>
      </c>
      <c r="AA68" s="246">
        <v>1.4E-2</v>
      </c>
    </row>
    <row r="69" spans="1:30" ht="10.15" x14ac:dyDescent="0.2">
      <c r="A69">
        <v>3</v>
      </c>
      <c r="B69" s="184" t="s">
        <v>498</v>
      </c>
      <c r="E69" s="246">
        <v>2.18870833333333E-2</v>
      </c>
      <c r="F69" s="246">
        <v>2.2659258064516102E-2</v>
      </c>
      <c r="G69" s="246">
        <v>2.2878909090909103E-2</v>
      </c>
      <c r="H69" s="246">
        <v>2.39449677419355E-2</v>
      </c>
      <c r="I69" s="246">
        <v>1.7816542372881401E-2</v>
      </c>
      <c r="J69" s="246">
        <v>1.2952887096774199E-2</v>
      </c>
      <c r="K69" s="246">
        <v>2.1074716417910498E-2</v>
      </c>
      <c r="L69" s="246">
        <v>2.64249508196721E-2</v>
      </c>
      <c r="M69" s="246">
        <v>2.1032766666666699E-2</v>
      </c>
      <c r="N69" s="246">
        <v>1.9373435483871E-2</v>
      </c>
      <c r="O69" s="246">
        <v>1.92133787878788E-2</v>
      </c>
      <c r="P69" s="246">
        <v>2.21098387096774E-2</v>
      </c>
      <c r="Q69" s="246">
        <v>1.8912850000000002E-2</v>
      </c>
      <c r="R69" s="246">
        <v>1.7190016129032301E-2</v>
      </c>
      <c r="S69" s="246">
        <v>1.5027938461538499E-2</v>
      </c>
      <c r="T69" s="246">
        <v>1.88246935483871E-2</v>
      </c>
      <c r="U69" s="246">
        <v>1.98043606557377E-2</v>
      </c>
      <c r="V69" s="246">
        <v>1.8265225806451599E-2</v>
      </c>
      <c r="W69" s="246">
        <v>1.6624406249999998E-2</v>
      </c>
      <c r="X69" s="246">
        <v>2.2198548387096801E-2</v>
      </c>
      <c r="Y69" s="246">
        <v>1.7319327868852499E-2</v>
      </c>
      <c r="Z69" s="246">
        <v>1.5536596774193501E-2</v>
      </c>
      <c r="AA69" s="246">
        <v>1.44E-2</v>
      </c>
    </row>
    <row r="70" spans="1:30" ht="10.15" x14ac:dyDescent="0.2">
      <c r="A70">
        <v>6</v>
      </c>
      <c r="B70" s="184" t="s">
        <v>497</v>
      </c>
      <c r="E70" s="246">
        <v>2.2955949999999999E-2</v>
      </c>
      <c r="F70" s="246">
        <v>2.40181935483871E-2</v>
      </c>
      <c r="G70" s="246">
        <v>2.4075712121212098E-2</v>
      </c>
      <c r="H70" s="246">
        <v>2.5197177419354802E-2</v>
      </c>
      <c r="I70" s="246">
        <v>1.86745593220339E-2</v>
      </c>
      <c r="J70" s="246">
        <v>1.41410161290323E-2</v>
      </c>
      <c r="K70" s="246">
        <v>2.3076940298507501E-2</v>
      </c>
      <c r="L70" s="246">
        <v>2.7457508196721297E-2</v>
      </c>
      <c r="M70" s="246">
        <v>2.295055E-2</v>
      </c>
      <c r="N70" s="246">
        <v>2.1312725806451601E-2</v>
      </c>
      <c r="O70" s="246">
        <v>2.0762575757575799E-2</v>
      </c>
      <c r="P70" s="246">
        <v>2.3020854838709699E-2</v>
      </c>
      <c r="Q70" s="246">
        <v>1.9933266666666699E-2</v>
      </c>
      <c r="R70" s="246">
        <v>1.8534112903225798E-2</v>
      </c>
      <c r="S70" s="246">
        <v>1.6670492307692301E-2</v>
      </c>
      <c r="T70" s="246">
        <v>1.9549854838709701E-2</v>
      </c>
      <c r="U70" s="246">
        <v>2.1135311475409799E-2</v>
      </c>
      <c r="V70" s="246">
        <v>1.9424016129032301E-2</v>
      </c>
      <c r="W70" s="246">
        <v>1.8954765625000002E-2</v>
      </c>
      <c r="X70" s="246">
        <v>2.31764193548387E-2</v>
      </c>
      <c r="Y70" s="246">
        <v>1.84638196721311E-2</v>
      </c>
      <c r="Z70" s="246">
        <v>1.5953451612903201E-2</v>
      </c>
      <c r="AA70" s="246">
        <v>1.4800000000000001E-2</v>
      </c>
    </row>
    <row r="71" spans="1:30" ht="10.15" x14ac:dyDescent="0.2">
      <c r="A71">
        <v>9</v>
      </c>
      <c r="B71" s="184" t="s">
        <v>499</v>
      </c>
      <c r="E71" s="246">
        <v>2.36617166666667E-2</v>
      </c>
      <c r="F71" s="246">
        <v>2.5654758064516101E-2</v>
      </c>
      <c r="G71" s="246">
        <v>2.5363560606060598E-2</v>
      </c>
      <c r="H71" s="246">
        <v>2.5646548387096801E-2</v>
      </c>
      <c r="I71" s="246">
        <v>1.98993050847458E-2</v>
      </c>
      <c r="J71" s="246">
        <v>1.5070838709677402E-2</v>
      </c>
      <c r="K71" s="246">
        <v>2.3410611940298497E-2</v>
      </c>
      <c r="L71" s="246">
        <v>2.7304901639344303E-2</v>
      </c>
      <c r="M71" s="246">
        <v>2.3448983333333298E-2</v>
      </c>
      <c r="N71" s="246">
        <v>2.3081000000000001E-2</v>
      </c>
      <c r="O71" s="246">
        <v>2.1064924242424201E-2</v>
      </c>
      <c r="P71" s="246">
        <v>2.29270322580645E-2</v>
      </c>
      <c r="Q71" s="246">
        <v>2.0427933333333301E-2</v>
      </c>
      <c r="R71" s="246">
        <v>1.9519483870967701E-2</v>
      </c>
      <c r="S71" s="246">
        <v>1.7276615384615401E-2</v>
      </c>
      <c r="T71" s="246">
        <v>1.9830048387096798E-2</v>
      </c>
      <c r="U71" s="246">
        <v>2.1426131147540998E-2</v>
      </c>
      <c r="V71" s="246">
        <v>2.0034E-2</v>
      </c>
      <c r="W71" s="246">
        <v>1.8667687500000002E-2</v>
      </c>
      <c r="X71" s="246">
        <v>2.2641241935483902E-2</v>
      </c>
      <c r="Y71" s="246">
        <v>1.87820491803279E-2</v>
      </c>
      <c r="Z71" s="246">
        <v>1.6269580645161298E-2</v>
      </c>
      <c r="AA71" s="246">
        <v>1.46E-2</v>
      </c>
    </row>
    <row r="72" spans="1:30" ht="12" x14ac:dyDescent="0.35">
      <c r="A72">
        <v>12</v>
      </c>
      <c r="B72" s="184" t="s">
        <v>500</v>
      </c>
      <c r="E72" s="247">
        <v>2.416105E-2</v>
      </c>
      <c r="F72" s="247">
        <v>2.6435967741935504E-2</v>
      </c>
      <c r="G72" s="247">
        <v>2.5983787878787901E-2</v>
      </c>
      <c r="H72" s="247">
        <v>2.6039500000000004E-2</v>
      </c>
      <c r="I72" s="247">
        <v>2.04717457627119E-2</v>
      </c>
      <c r="J72" s="247">
        <v>1.5398919354838701E-2</v>
      </c>
      <c r="K72" s="247">
        <v>2.3656507462686598E-2</v>
      </c>
      <c r="L72" s="247">
        <v>2.7585754098360699E-2</v>
      </c>
      <c r="M72" s="247">
        <v>2.5603899999999999E-2</v>
      </c>
      <c r="N72" s="247">
        <v>2.4256548387096802E-2</v>
      </c>
      <c r="O72" s="247">
        <v>2.27506363636364E-2</v>
      </c>
      <c r="P72" s="247">
        <v>2.3110580645161298E-2</v>
      </c>
      <c r="Q72" s="247">
        <v>2.0737416666666699E-2</v>
      </c>
      <c r="R72" s="247">
        <v>1.99987741935484E-2</v>
      </c>
      <c r="S72" s="247">
        <v>1.82004153846154E-2</v>
      </c>
      <c r="T72" s="247">
        <v>2.0172903225806501E-2</v>
      </c>
      <c r="U72" s="247">
        <v>2.2041114754098402E-2</v>
      </c>
      <c r="V72" s="247">
        <v>2.0490645161290302E-2</v>
      </c>
      <c r="W72" s="247">
        <v>1.9176203124999999E-2</v>
      </c>
      <c r="X72" s="247">
        <v>2.2614967741935499E-2</v>
      </c>
      <c r="Y72" s="247">
        <v>1.9076098360655699E-2</v>
      </c>
      <c r="Z72" s="247">
        <v>1.6528967741935501E-2</v>
      </c>
      <c r="AA72" s="247">
        <v>1.47E-2</v>
      </c>
    </row>
    <row r="73" spans="1:30" ht="10.15" x14ac:dyDescent="0.2">
      <c r="B73" s="4" t="s">
        <v>508</v>
      </c>
      <c r="E73" s="248">
        <f>(-E89/($A69-$A68)+$A69/($A69-$A68))*E68+(1-(-E89/($A69-$A68)+$A69/($A69-$A68)))*E69</f>
        <v>2.1736499618752243E-2</v>
      </c>
      <c r="F73" s="248">
        <f>(-F89/($A69-$A68)+$A69/($A69-$A68))*F68+(1-(-F89/($A69-$A68)+$A69/($A69-$A68)))*F69</f>
        <v>2.2244801721646938E-2</v>
      </c>
      <c r="G73" s="248">
        <f t="shared" ref="G73:O73" si="56">(-G89/($A70-$A69)+$A70/($A70-$A69))*G69+(1-(-G89/($A70-$A69)+$A70/($A70-$A69)))*G70</f>
        <v>2.3278165239142945E-2</v>
      </c>
      <c r="H73" s="248">
        <f t="shared" si="56"/>
        <v>2.4606521215287884E-2</v>
      </c>
      <c r="I73" s="248">
        <f t="shared" si="56"/>
        <v>1.8301676680728008E-2</v>
      </c>
      <c r="J73" s="248">
        <f t="shared" si="56"/>
        <v>1.3781100451985467E-2</v>
      </c>
      <c r="K73" s="248">
        <f t="shared" si="56"/>
        <v>2.2657928002914884E-2</v>
      </c>
      <c r="L73" s="248">
        <f t="shared" si="56"/>
        <v>2.7090574550651524E-2</v>
      </c>
      <c r="M73" s="248">
        <f t="shared" si="56"/>
        <v>2.2763524058074393E-2</v>
      </c>
      <c r="N73" s="248">
        <f t="shared" si="56"/>
        <v>2.0851261244021323E-2</v>
      </c>
      <c r="O73" s="248">
        <f t="shared" si="56"/>
        <v>2.048250805993241E-2</v>
      </c>
      <c r="P73" s="248">
        <f t="shared" ref="P73:X73" si="57">(-P89/($A71-$A70)+$A71/($A71-$A70))*P70+(1-(-P89/($A71-$A70)+$A71/($A71-$A70)))*P71</f>
        <v>2.3012364578167691E-2</v>
      </c>
      <c r="Q73" s="248">
        <f t="shared" si="57"/>
        <v>2.016708647782359E-2</v>
      </c>
      <c r="R73" s="248">
        <f t="shared" si="57"/>
        <v>1.8825536316117459E-2</v>
      </c>
      <c r="S73" s="248">
        <f t="shared" si="57"/>
        <v>1.682194936115778E-2</v>
      </c>
      <c r="T73" s="248">
        <f t="shared" si="57"/>
        <v>1.9648595352769985E-2</v>
      </c>
      <c r="U73" s="248">
        <f t="shared" si="57"/>
        <v>2.1337920294006298E-2</v>
      </c>
      <c r="V73" s="248">
        <f t="shared" si="57"/>
        <v>1.9899165647084396E-2</v>
      </c>
      <c r="W73" s="248">
        <f t="shared" si="57"/>
        <v>1.8754132288699425E-2</v>
      </c>
      <c r="X73" s="248">
        <f t="shared" si="57"/>
        <v>2.2697670342058884E-2</v>
      </c>
      <c r="Y73" s="248">
        <f>(-Y89/($A72-$A71)+$A72/($A72-$A71))*Y71+(1-(-Y89/($A72-$A71)+$A72/($A72-$A71)))*Y72</f>
        <v>1.8807529582909266E-2</v>
      </c>
      <c r="Z73" s="248">
        <f>(-Z89/($A72-$A71)+$A72/($A72-$A71))*Z71+(1-(-Z89/($A72-$A71)+$A72/($A72-$A71)))*Z72</f>
        <v>1.6326117829519603E-2</v>
      </c>
      <c r="AA73" s="248">
        <f>(-AA89/($A72-$A71)+$A72/($A72-$A71))*AA71+(1-(-AA89/($A72-$A71)+$A72/($A72-$A71)))*AA72</f>
        <v>1.4623328276726003E-2</v>
      </c>
    </row>
    <row r="74" spans="1:30" ht="12" x14ac:dyDescent="0.35">
      <c r="B74" s="184" t="s">
        <v>509</v>
      </c>
      <c r="E74" s="249">
        <v>0</v>
      </c>
      <c r="F74" s="249">
        <v>0</v>
      </c>
      <c r="G74" s="249">
        <v>0</v>
      </c>
      <c r="H74" s="249">
        <v>0</v>
      </c>
      <c r="I74" s="249">
        <v>0</v>
      </c>
      <c r="J74" s="249">
        <v>0</v>
      </c>
      <c r="K74" s="249">
        <v>0</v>
      </c>
      <c r="L74" s="249">
        <v>0</v>
      </c>
      <c r="M74" s="249">
        <v>0</v>
      </c>
      <c r="N74" s="249">
        <v>0</v>
      </c>
      <c r="O74" s="249">
        <v>0</v>
      </c>
      <c r="P74" s="249">
        <v>0</v>
      </c>
      <c r="Q74" s="249">
        <v>0</v>
      </c>
      <c r="R74" s="249">
        <v>0</v>
      </c>
      <c r="S74" s="249">
        <v>0</v>
      </c>
      <c r="T74" s="249">
        <v>0</v>
      </c>
      <c r="U74" s="249">
        <v>0</v>
      </c>
      <c r="V74" s="249">
        <v>0</v>
      </c>
      <c r="W74" s="249">
        <v>0</v>
      </c>
      <c r="X74" s="249">
        <v>0</v>
      </c>
      <c r="Y74" s="249">
        <v>0</v>
      </c>
      <c r="Z74" s="249">
        <v>0</v>
      </c>
      <c r="AA74" s="249">
        <v>0</v>
      </c>
    </row>
    <row r="75" spans="1:30" ht="10.15" x14ac:dyDescent="0.2">
      <c r="B75" s="4" t="s">
        <v>501</v>
      </c>
      <c r="E75" s="248">
        <f>+E73+E74</f>
        <v>2.1736499618752243E-2</v>
      </c>
      <c r="F75" s="248">
        <f t="shared" ref="F75:Z75" si="58">+F73+F74</f>
        <v>2.2244801721646938E-2</v>
      </c>
      <c r="G75" s="248">
        <f t="shared" si="58"/>
        <v>2.3278165239142945E-2</v>
      </c>
      <c r="H75" s="248">
        <f t="shared" si="58"/>
        <v>2.4606521215287884E-2</v>
      </c>
      <c r="I75" s="248">
        <f t="shared" si="58"/>
        <v>1.8301676680728008E-2</v>
      </c>
      <c r="J75" s="248">
        <f t="shared" si="58"/>
        <v>1.3781100451985467E-2</v>
      </c>
      <c r="K75" s="248">
        <f t="shared" si="58"/>
        <v>2.2657928002914884E-2</v>
      </c>
      <c r="L75" s="248">
        <f t="shared" si="58"/>
        <v>2.7090574550651524E-2</v>
      </c>
      <c r="M75" s="248">
        <f t="shared" si="58"/>
        <v>2.2763524058074393E-2</v>
      </c>
      <c r="N75" s="248">
        <f t="shared" si="58"/>
        <v>2.0851261244021323E-2</v>
      </c>
      <c r="O75" s="248">
        <f t="shared" si="58"/>
        <v>2.048250805993241E-2</v>
      </c>
      <c r="P75" s="248">
        <f t="shared" si="58"/>
        <v>2.3012364578167691E-2</v>
      </c>
      <c r="Q75" s="248">
        <f t="shared" si="58"/>
        <v>2.016708647782359E-2</v>
      </c>
      <c r="R75" s="248">
        <f t="shared" si="58"/>
        <v>1.8825536316117459E-2</v>
      </c>
      <c r="S75" s="248">
        <f t="shared" si="58"/>
        <v>1.682194936115778E-2</v>
      </c>
      <c r="T75" s="248">
        <f t="shared" si="58"/>
        <v>1.9648595352769985E-2</v>
      </c>
      <c r="U75" s="248">
        <f t="shared" si="58"/>
        <v>2.1337920294006298E-2</v>
      </c>
      <c r="V75" s="248">
        <f t="shared" si="58"/>
        <v>1.9899165647084396E-2</v>
      </c>
      <c r="W75" s="248">
        <f t="shared" si="58"/>
        <v>1.8754132288699425E-2</v>
      </c>
      <c r="X75" s="248">
        <f t="shared" si="58"/>
        <v>2.2697670342058884E-2</v>
      </c>
      <c r="Y75" s="248">
        <f t="shared" si="58"/>
        <v>1.8807529582909266E-2</v>
      </c>
      <c r="Z75" s="248">
        <f t="shared" si="58"/>
        <v>1.6326117829519603E-2</v>
      </c>
      <c r="AA75" s="248">
        <f t="shared" ref="AA75" si="59">+AA73+AA74</f>
        <v>1.4623328276726003E-2</v>
      </c>
    </row>
    <row r="76" spans="1:30" ht="10.15" x14ac:dyDescent="0.2">
      <c r="B76" s="4"/>
      <c r="E76" s="248"/>
      <c r="F76" s="248"/>
      <c r="G76" s="248"/>
      <c r="H76" s="248"/>
      <c r="I76" s="248"/>
      <c r="J76" s="248"/>
      <c r="K76" s="248"/>
      <c r="L76" s="248"/>
      <c r="M76" s="248"/>
      <c r="N76" s="248"/>
      <c r="O76" s="248"/>
      <c r="P76" s="248"/>
      <c r="Q76" s="248"/>
      <c r="R76" s="248"/>
      <c r="S76" s="248"/>
      <c r="T76" s="248"/>
      <c r="U76" s="248"/>
      <c r="V76" s="248"/>
      <c r="W76" s="248"/>
      <c r="X76" s="248"/>
      <c r="Y76" s="248"/>
      <c r="Z76" s="248"/>
      <c r="AA76" s="248"/>
    </row>
    <row r="77" spans="1:30" ht="10.15" x14ac:dyDescent="0.2">
      <c r="A77">
        <v>1</v>
      </c>
      <c r="B77" s="184" t="s">
        <v>507</v>
      </c>
      <c r="E77" s="246">
        <v>2.4267213114754101E-2</v>
      </c>
      <c r="F77" s="246">
        <v>2.3507936507936499E-2</v>
      </c>
      <c r="G77" s="246">
        <v>2.0715625000000001E-2</v>
      </c>
      <c r="H77" s="246">
        <v>1.6230645161290299E-2</v>
      </c>
      <c r="I77" s="246">
        <v>1.1338709677419401E-2</v>
      </c>
      <c r="J77" s="246">
        <v>1.1333333333333E-3</v>
      </c>
      <c r="K77" s="246">
        <v>9.2812500000000002E-4</v>
      </c>
      <c r="L77" s="246">
        <v>8.3064516129029999E-4</v>
      </c>
      <c r="M77" s="246">
        <v>4.409836065574E-4</v>
      </c>
      <c r="N77" s="246">
        <v>1.7343750000000001E-4</v>
      </c>
      <c r="O77" s="246">
        <v>4.8125000000000002E-4</v>
      </c>
      <c r="P77" s="246">
        <v>5.4354838709679996E-4</v>
      </c>
      <c r="Q77" s="246">
        <v>9.3225806451609997E-4</v>
      </c>
      <c r="R77" s="246">
        <v>6.5387096774192997E-3</v>
      </c>
      <c r="S77" s="246">
        <v>2.2537500000000002E-2</v>
      </c>
      <c r="T77" s="246">
        <v>3.6993442622950796E-2</v>
      </c>
      <c r="U77" s="246">
        <v>4.54661290322581E-2</v>
      </c>
      <c r="V77" s="246">
        <v>4.9757142857142903E-2</v>
      </c>
      <c r="W77" s="246">
        <v>5.4857142857142806E-2</v>
      </c>
      <c r="X77" s="246">
        <v>5.5483870967742002E-2</v>
      </c>
      <c r="Y77" s="246">
        <v>5.51327868852459E-2</v>
      </c>
      <c r="Z77" s="246">
        <v>5.4820634920634895E-2</v>
      </c>
      <c r="AA77" s="246">
        <v>5.3600000000000002E-2</v>
      </c>
    </row>
    <row r="78" spans="1:30" ht="10.15" x14ac:dyDescent="0.2">
      <c r="A78">
        <v>3</v>
      </c>
      <c r="B78" s="184" t="s">
        <v>502</v>
      </c>
      <c r="E78" s="246">
        <v>2.4385245901639402E-2</v>
      </c>
      <c r="F78" s="246">
        <v>2.3547619047619102E-2</v>
      </c>
      <c r="G78" s="246">
        <v>2.0260937499999999E-2</v>
      </c>
      <c r="H78" s="246">
        <v>1.6075806451612898E-2</v>
      </c>
      <c r="I78" s="246">
        <v>1.10403225806452E-2</v>
      </c>
      <c r="J78" s="246">
        <v>1.4222222222222E-3</v>
      </c>
      <c r="K78" s="246">
        <v>1.134375E-3</v>
      </c>
      <c r="L78" s="246">
        <v>9.2903225806449999E-4</v>
      </c>
      <c r="M78" s="246">
        <v>5.1147540983610001E-4</v>
      </c>
      <c r="N78" s="246">
        <v>2.515625E-4</v>
      </c>
      <c r="O78" s="246">
        <v>4.9687500000000003E-4</v>
      </c>
      <c r="P78" s="246">
        <v>5.4193548387100002E-4</v>
      </c>
      <c r="Q78" s="246">
        <v>3.0935483870968001E-3</v>
      </c>
      <c r="R78" s="246">
        <v>1.1037096774193501E-2</v>
      </c>
      <c r="S78" s="246">
        <v>2.7534375E-2</v>
      </c>
      <c r="T78" s="246">
        <v>4.1873770491803297E-2</v>
      </c>
      <c r="U78" s="246">
        <v>4.7817741935483903E-2</v>
      </c>
      <c r="V78" s="246">
        <v>5.2695238095238101E-2</v>
      </c>
      <c r="W78" s="246">
        <v>5.5355555555555602E-2</v>
      </c>
      <c r="X78" s="246">
        <v>5.52451612903226E-2</v>
      </c>
      <c r="Y78" s="246">
        <v>5.4542622950819707E-2</v>
      </c>
      <c r="Z78" s="246">
        <v>5.4665079365079298E-2</v>
      </c>
      <c r="AA78" s="246">
        <v>5.2299999999999999E-2</v>
      </c>
    </row>
    <row r="79" spans="1:30" ht="10.15" x14ac:dyDescent="0.2">
      <c r="A79">
        <v>6</v>
      </c>
      <c r="B79" s="184" t="s">
        <v>503</v>
      </c>
      <c r="E79" s="246">
        <v>2.5055737704918001E-2</v>
      </c>
      <c r="F79" s="246">
        <v>2.3550793650793701E-2</v>
      </c>
      <c r="G79" s="246">
        <v>1.9704687499999998E-2</v>
      </c>
      <c r="H79" s="246">
        <v>1.61354838709677E-2</v>
      </c>
      <c r="I79" s="246">
        <v>1.0975806451612899E-2</v>
      </c>
      <c r="J79" s="246">
        <v>1.6793650793650999E-3</v>
      </c>
      <c r="K79" s="246">
        <v>1.2671874999999999E-3</v>
      </c>
      <c r="L79" s="246">
        <v>1.0274193548387E-3</v>
      </c>
      <c r="M79" s="246">
        <v>6.6229508196719998E-4</v>
      </c>
      <c r="N79" s="246">
        <v>4.1718749999999997E-4</v>
      </c>
      <c r="O79" s="246">
        <v>5.375E-4</v>
      </c>
      <c r="P79" s="246">
        <v>9.5E-4</v>
      </c>
      <c r="Q79" s="246">
        <v>6.1806451612902999E-3</v>
      </c>
      <c r="R79" s="246">
        <v>1.6466129032258102E-2</v>
      </c>
      <c r="S79" s="246">
        <v>3.2468750000000005E-2</v>
      </c>
      <c r="T79" s="246">
        <v>4.5450819672131201E-2</v>
      </c>
      <c r="U79" s="246">
        <v>4.9235483870967697E-2</v>
      </c>
      <c r="V79" s="246">
        <v>5.2306349206349197E-2</v>
      </c>
      <c r="W79" s="246">
        <v>5.5280952380952403E-2</v>
      </c>
      <c r="X79" s="246">
        <v>5.44919354838709E-2</v>
      </c>
      <c r="Y79" s="246">
        <v>5.28311475409836E-2</v>
      </c>
      <c r="Z79" s="246">
        <v>5.3912698412698398E-2</v>
      </c>
      <c r="AA79" s="246">
        <v>4.9299999999999997E-2</v>
      </c>
    </row>
    <row r="80" spans="1:30" ht="12" x14ac:dyDescent="0.35">
      <c r="A80">
        <v>12</v>
      </c>
      <c r="B80" s="184" t="s">
        <v>504</v>
      </c>
      <c r="E80" s="247">
        <v>2.5399999999999999E-2</v>
      </c>
      <c r="F80" s="247">
        <v>2.2588888888888898E-2</v>
      </c>
      <c r="G80" s="247">
        <v>1.8450000000000001E-2</v>
      </c>
      <c r="H80" s="247">
        <v>1.5758064516128999E-2</v>
      </c>
      <c r="I80" s="247">
        <v>1.0677419354838701E-2</v>
      </c>
      <c r="J80" s="247">
        <v>1.7428571428570998E-3</v>
      </c>
      <c r="K80" s="247">
        <v>1.346875E-3</v>
      </c>
      <c r="L80" s="247">
        <v>1.1451612903226E-3</v>
      </c>
      <c r="M80" s="247">
        <v>8.2459016393439995E-4</v>
      </c>
      <c r="N80" s="247">
        <v>5.9687499999999997E-4</v>
      </c>
      <c r="O80" s="247">
        <v>7.5468750000000004E-4</v>
      </c>
      <c r="P80" s="247">
        <v>2.0032258064515999E-3</v>
      </c>
      <c r="Q80" s="247">
        <v>9.8032258064516004E-3</v>
      </c>
      <c r="R80" s="247">
        <v>2.2043548387096799E-2</v>
      </c>
      <c r="S80" s="247">
        <v>3.3976562500000002E-2</v>
      </c>
      <c r="T80" s="247">
        <v>4.61360655737705E-2</v>
      </c>
      <c r="U80" s="247">
        <v>4.7593548387096798E-2</v>
      </c>
      <c r="V80" s="247">
        <v>4.9487301587301601E-2</v>
      </c>
      <c r="W80" s="247">
        <v>5.3899999999999997E-2</v>
      </c>
      <c r="X80" s="247">
        <v>5.2259677419354798E-2</v>
      </c>
      <c r="Y80" s="247">
        <v>4.9000000000000002E-2</v>
      </c>
      <c r="Z80" s="247">
        <v>5.1361904761904803E-2</v>
      </c>
      <c r="AA80" s="247">
        <v>4.4600000000000001E-2</v>
      </c>
    </row>
    <row r="81" spans="2:30" ht="10.15" x14ac:dyDescent="0.2">
      <c r="B81" s="4" t="s">
        <v>510</v>
      </c>
      <c r="E81" s="248">
        <f>(-E89/($A78-$A77)+$A78/($A78-$A77))*E77+(1-(-E89/($A78-$A77)+$A78/($A78-$A77)))*E78</f>
        <v>2.435223259236495E-2</v>
      </c>
      <c r="F81" s="248">
        <f>(-F89/($A78-$A77)+$A78/($A78-$A77))*F77+(1-(-F89/($A78-$A77)+$A78/($A78-$A77)))*F78</f>
        <v>2.3537295435124776E-2</v>
      </c>
      <c r="G81" s="248">
        <f t="shared" ref="G81:O81" si="60">(-G89/($A79-$A78)+$A79/($A79-$A78))*G78+(1-(-G89/($A79-$A78)+$A79/($A79-$A78)))*G79</f>
        <v>2.0075371264928848E-2</v>
      </c>
      <c r="H81" s="248">
        <f t="shared" si="60"/>
        <v>1.6107334561295171E-2</v>
      </c>
      <c r="I81" s="248">
        <f t="shared" si="60"/>
        <v>1.1003844294716299E-2</v>
      </c>
      <c r="J81" s="248">
        <f t="shared" si="60"/>
        <v>1.601469713614759E-3</v>
      </c>
      <c r="K81" s="248">
        <f t="shared" si="60"/>
        <v>1.2393933701588349E-3</v>
      </c>
      <c r="L81" s="248">
        <f t="shared" si="60"/>
        <v>9.9245612960007293E-4</v>
      </c>
      <c r="M81" s="248">
        <f t="shared" si="60"/>
        <v>6.4758685567752668E-4</v>
      </c>
      <c r="N81" s="248">
        <f t="shared" si="60"/>
        <v>3.7777614046162521E-4</v>
      </c>
      <c r="O81" s="248">
        <f t="shared" si="60"/>
        <v>5.3015571103009053E-4</v>
      </c>
      <c r="P81" s="248">
        <f t="shared" ref="P81:Z81" si="61">(-P89/($A80-$A79)+$A80/($A80-$A79))*P79+(1-(-P89/($A80-$A79)+$A80/($A80-$A79)))*P80</f>
        <v>9.9765463412349997E-4</v>
      </c>
      <c r="Q81" s="248">
        <f t="shared" si="61"/>
        <v>7.036808694665303E-3</v>
      </c>
      <c r="R81" s="248">
        <f t="shared" si="61"/>
        <v>1.7290889775534245E-2</v>
      </c>
      <c r="S81" s="248">
        <f t="shared" si="61"/>
        <v>3.2657134873570318E-2</v>
      </c>
      <c r="T81" s="248">
        <f t="shared" si="61"/>
        <v>4.5571560376146431E-2</v>
      </c>
      <c r="U81" s="248">
        <f t="shared" si="61"/>
        <v>4.866353045708606E-2</v>
      </c>
      <c r="V81" s="248">
        <f t="shared" si="61"/>
        <v>5.1208394669099384E-2</v>
      </c>
      <c r="W81" s="248">
        <f t="shared" si="61"/>
        <v>5.479839195691677E-2</v>
      </c>
      <c r="X81" s="248">
        <f t="shared" si="61"/>
        <v>5.3493489635814323E-2</v>
      </c>
      <c r="Y81" s="248">
        <f t="shared" si="61"/>
        <v>5.0749582521027944E-2</v>
      </c>
      <c r="Z81" s="248">
        <f t="shared" si="61"/>
        <v>5.2359310328892072E-2</v>
      </c>
      <c r="AA81" s="248">
        <f t="shared" ref="AA81" si="62">(-AA89/($A80-$A79)+$A80/($A80-$A79))*AA79+(1-(-AA89/($A80-$A79)+$A80/($A80-$A79)))*AA80</f>
        <v>4.6401785496938928E-2</v>
      </c>
    </row>
    <row r="82" spans="2:30" ht="12" x14ac:dyDescent="0.35">
      <c r="B82" s="184" t="s">
        <v>509</v>
      </c>
      <c r="E82" s="249">
        <v>0</v>
      </c>
      <c r="F82" s="249">
        <v>0</v>
      </c>
      <c r="G82" s="249">
        <v>0</v>
      </c>
      <c r="H82" s="249">
        <v>0</v>
      </c>
      <c r="I82" s="249">
        <v>0</v>
      </c>
      <c r="J82" s="249">
        <v>0</v>
      </c>
      <c r="K82" s="249">
        <v>0</v>
      </c>
      <c r="L82" s="249">
        <v>0</v>
      </c>
      <c r="M82" s="249">
        <v>0</v>
      </c>
      <c r="N82" s="249">
        <v>0</v>
      </c>
      <c r="O82" s="249">
        <v>0</v>
      </c>
      <c r="P82" s="249">
        <v>0</v>
      </c>
      <c r="Q82" s="249">
        <v>0</v>
      </c>
      <c r="R82" s="249">
        <v>0</v>
      </c>
      <c r="S82" s="249">
        <v>0</v>
      </c>
      <c r="T82" s="249">
        <v>0</v>
      </c>
      <c r="U82" s="249">
        <v>0</v>
      </c>
      <c r="V82" s="249">
        <v>0</v>
      </c>
      <c r="W82" s="249">
        <v>0</v>
      </c>
      <c r="X82" s="249">
        <v>0</v>
      </c>
      <c r="Y82" s="249">
        <v>0</v>
      </c>
      <c r="Z82" s="249">
        <v>0</v>
      </c>
      <c r="AA82" s="249">
        <v>0</v>
      </c>
    </row>
    <row r="83" spans="2:30" ht="10.15" x14ac:dyDescent="0.2">
      <c r="B83" s="4" t="s">
        <v>511</v>
      </c>
      <c r="E83" s="248">
        <f>+E81+E82</f>
        <v>2.435223259236495E-2</v>
      </c>
      <c r="F83" s="248">
        <f t="shared" ref="F83" si="63">+F81+F82</f>
        <v>2.3537295435124776E-2</v>
      </c>
      <c r="G83" s="248">
        <f t="shared" ref="G83" si="64">+G81+G82</f>
        <v>2.0075371264928848E-2</v>
      </c>
      <c r="H83" s="248">
        <f t="shared" ref="H83" si="65">+H81+H82</f>
        <v>1.6107334561295171E-2</v>
      </c>
      <c r="I83" s="248">
        <f t="shared" ref="I83" si="66">+I81+I82</f>
        <v>1.1003844294716299E-2</v>
      </c>
      <c r="J83" s="248">
        <f t="shared" ref="J83" si="67">+J81+J82</f>
        <v>1.601469713614759E-3</v>
      </c>
      <c r="K83" s="248">
        <f t="shared" ref="K83" si="68">+K81+K82</f>
        <v>1.2393933701588349E-3</v>
      </c>
      <c r="L83" s="248">
        <f t="shared" ref="L83" si="69">+L81+L82</f>
        <v>9.9245612960007293E-4</v>
      </c>
      <c r="M83" s="248">
        <f t="shared" ref="M83" si="70">+M81+M82</f>
        <v>6.4758685567752668E-4</v>
      </c>
      <c r="N83" s="248">
        <f t="shared" ref="N83" si="71">+N81+N82</f>
        <v>3.7777614046162521E-4</v>
      </c>
      <c r="O83" s="248">
        <f t="shared" ref="O83" si="72">+O81+O82</f>
        <v>5.3015571103009053E-4</v>
      </c>
      <c r="P83" s="248">
        <f t="shared" ref="P83" si="73">+P81+P82</f>
        <v>9.9765463412349997E-4</v>
      </c>
      <c r="Q83" s="248">
        <f t="shared" ref="Q83" si="74">+Q81+Q82</f>
        <v>7.036808694665303E-3</v>
      </c>
      <c r="R83" s="248">
        <f t="shared" ref="R83" si="75">+R81+R82</f>
        <v>1.7290889775534245E-2</v>
      </c>
      <c r="S83" s="248">
        <f t="shared" ref="S83" si="76">+S81+S82</f>
        <v>3.2657134873570318E-2</v>
      </c>
      <c r="T83" s="248">
        <f t="shared" ref="T83" si="77">+T81+T82</f>
        <v>4.5571560376146431E-2</v>
      </c>
      <c r="U83" s="248">
        <f t="shared" ref="U83" si="78">+U81+U82</f>
        <v>4.866353045708606E-2</v>
      </c>
      <c r="V83" s="248">
        <f t="shared" ref="V83" si="79">+V81+V82</f>
        <v>5.1208394669099384E-2</v>
      </c>
      <c r="W83" s="248">
        <f t="shared" ref="W83" si="80">+W81+W82</f>
        <v>5.479839195691677E-2</v>
      </c>
      <c r="X83" s="248">
        <f t="shared" ref="X83" si="81">+X81+X82</f>
        <v>5.3493489635814323E-2</v>
      </c>
      <c r="Y83" s="248">
        <f t="shared" ref="Y83" si="82">+Y81+Y82</f>
        <v>5.0749582521027944E-2</v>
      </c>
      <c r="Z83" s="248">
        <f t="shared" ref="Z83:AA83" si="83">+Z81+Z82</f>
        <v>5.2359310328892072E-2</v>
      </c>
      <c r="AA83" s="248">
        <f t="shared" si="83"/>
        <v>4.6401785496938928E-2</v>
      </c>
    </row>
    <row r="84" spans="2:30" ht="10.15" x14ac:dyDescent="0.2">
      <c r="B84" s="4"/>
      <c r="E84" s="248"/>
      <c r="F84" s="248"/>
      <c r="G84" s="248"/>
      <c r="H84" s="248"/>
      <c r="I84" s="248"/>
      <c r="J84" s="248"/>
      <c r="K84" s="248"/>
      <c r="L84" s="248"/>
      <c r="M84" s="248"/>
      <c r="N84" s="248"/>
      <c r="O84" s="248"/>
      <c r="P84" s="248"/>
      <c r="Q84" s="248"/>
      <c r="R84" s="248"/>
      <c r="S84" s="248"/>
      <c r="T84" s="248"/>
      <c r="U84" s="248"/>
      <c r="V84" s="248"/>
      <c r="W84" s="248"/>
      <c r="X84" s="248"/>
      <c r="Y84" s="248"/>
      <c r="Z84" s="248"/>
      <c r="AA84" s="248"/>
    </row>
    <row r="85" spans="2:30" ht="10.15" x14ac:dyDescent="0.2">
      <c r="B85" s="19" t="s">
        <v>65</v>
      </c>
      <c r="E85" s="246"/>
    </row>
    <row r="86" spans="2:30" ht="10.15" x14ac:dyDescent="0.2">
      <c r="B86" s="20" t="s">
        <v>492</v>
      </c>
      <c r="E86" s="238">
        <v>1.5</v>
      </c>
      <c r="F86" s="238">
        <v>1.5</v>
      </c>
      <c r="G86" s="238">
        <v>1.5</v>
      </c>
      <c r="H86" s="238">
        <v>1.5</v>
      </c>
      <c r="I86" s="238">
        <v>1.5</v>
      </c>
      <c r="J86" s="238">
        <v>1.5</v>
      </c>
      <c r="K86" s="238">
        <v>1.5</v>
      </c>
      <c r="L86" s="238">
        <v>1.5</v>
      </c>
      <c r="M86" s="238">
        <v>1.5</v>
      </c>
      <c r="N86" s="238">
        <v>1.5</v>
      </c>
      <c r="O86" s="238">
        <v>1.5</v>
      </c>
      <c r="P86" s="238">
        <v>1.5</v>
      </c>
      <c r="Q86" s="238">
        <v>1.5</v>
      </c>
      <c r="R86" s="238">
        <v>1.5</v>
      </c>
      <c r="S86" s="238">
        <v>1.5</v>
      </c>
      <c r="T86" s="238">
        <v>1.5</v>
      </c>
      <c r="U86" s="238">
        <v>1.5</v>
      </c>
      <c r="V86" s="238">
        <v>1.5</v>
      </c>
      <c r="W86" s="238">
        <v>1.5</v>
      </c>
      <c r="X86" s="238">
        <v>1.5</v>
      </c>
      <c r="Y86" s="238">
        <v>1.5</v>
      </c>
      <c r="Z86" s="238">
        <v>1.5</v>
      </c>
      <c r="AA86" s="238">
        <v>1.5</v>
      </c>
    </row>
    <row r="87" spans="2:30" ht="10.15" x14ac:dyDescent="0.2">
      <c r="B87" s="20" t="s">
        <v>475</v>
      </c>
      <c r="E87" s="238">
        <v>7.5</v>
      </c>
      <c r="F87" s="238">
        <v>7.5</v>
      </c>
      <c r="G87" s="238">
        <v>7.5</v>
      </c>
      <c r="H87" s="238">
        <v>7.5</v>
      </c>
      <c r="I87" s="238">
        <v>7.5</v>
      </c>
      <c r="J87" s="238">
        <v>7.5</v>
      </c>
      <c r="K87" s="238">
        <v>7.5</v>
      </c>
      <c r="L87" s="238">
        <v>7.5</v>
      </c>
      <c r="M87" s="238">
        <v>7.5</v>
      </c>
      <c r="N87" s="238">
        <v>7.5</v>
      </c>
      <c r="O87" s="238">
        <v>7.5</v>
      </c>
      <c r="P87" s="238">
        <v>7.5</v>
      </c>
      <c r="Q87" s="238">
        <v>7.5</v>
      </c>
      <c r="R87" s="238">
        <v>7.5</v>
      </c>
      <c r="S87" s="238">
        <v>7.5</v>
      </c>
      <c r="T87" s="238">
        <v>7.5</v>
      </c>
      <c r="U87" s="238">
        <v>7.5</v>
      </c>
      <c r="V87" s="238">
        <v>7.5</v>
      </c>
      <c r="W87" s="238">
        <v>7.5</v>
      </c>
      <c r="X87" s="238">
        <v>7.5</v>
      </c>
      <c r="Y87" s="238">
        <v>7.5</v>
      </c>
      <c r="Z87" s="238">
        <v>7.5</v>
      </c>
      <c r="AA87" s="238">
        <v>7.5</v>
      </c>
    </row>
    <row r="88" spans="2:30" ht="12" x14ac:dyDescent="0.35">
      <c r="B88" s="20" t="s">
        <v>486</v>
      </c>
      <c r="E88" s="239">
        <v>0</v>
      </c>
      <c r="F88" s="239">
        <v>0</v>
      </c>
      <c r="G88" s="239">
        <v>0</v>
      </c>
      <c r="H88" s="239">
        <v>0</v>
      </c>
      <c r="I88" s="239">
        <v>0</v>
      </c>
      <c r="J88" s="239">
        <f>+$L88</f>
        <v>20.951080748076969</v>
      </c>
      <c r="K88" s="239">
        <f>+$L88</f>
        <v>20.951080748076969</v>
      </c>
      <c r="L88" s="239">
        <f>+(L51/L46*1.5+L52/L46*2.5+L55/L46*1+L56/L46*3+L57/L46*7)*12</f>
        <v>20.951080748076969</v>
      </c>
      <c r="M88" s="239">
        <f>+L88*0.75+P88*0.25</f>
        <v>20.932276805340862</v>
      </c>
      <c r="N88" s="239">
        <f>+L88*0.5+P88*0.5</f>
        <v>20.913472862604756</v>
      </c>
      <c r="O88" s="239">
        <f>+L88*0.25+P88*0.75</f>
        <v>20.89466891986865</v>
      </c>
      <c r="P88" s="239">
        <f>+(P51/P46*1.5+P52/P46*2.5+P55/P46*1+P56/P46*3+P57/P46*7)*12</f>
        <v>20.875864977132544</v>
      </c>
      <c r="Q88" s="239">
        <f>+P88*0.75+T88*0.25</f>
        <v>25.322957938677746</v>
      </c>
      <c r="R88" s="239">
        <f>+P88*0.5+T88*0.5</f>
        <v>29.770050900222952</v>
      </c>
      <c r="S88" s="239">
        <f>+P88*0.25+T88*0.75</f>
        <v>34.217143861768157</v>
      </c>
      <c r="T88" s="239">
        <f>+(T51/T46*1.5+T52/T46*2.5+T55/T46*1+T56/T46*3+T57/T46*7)*12</f>
        <v>38.66423682331336</v>
      </c>
      <c r="U88" s="239">
        <f>+T88*0.75+X88*0.25</f>
        <v>36.986677602156533</v>
      </c>
      <c r="V88" s="239">
        <f>+T88*0.5+X88*0.5</f>
        <v>35.309118380999706</v>
      </c>
      <c r="W88" s="239">
        <f>+T88*0.25+X88*0.75</f>
        <v>33.631559159842887</v>
      </c>
      <c r="X88" s="239">
        <f>+(X51/X46*1.5+X52/X46*2.5+X55/X46*1+X56/X46*3+X57/X46*7)*12</f>
        <v>31.95399993868606</v>
      </c>
      <c r="Y88" s="239">
        <f>+$X88</f>
        <v>31.95399993868606</v>
      </c>
      <c r="Z88" s="239">
        <f>+$X88</f>
        <v>31.95399993868606</v>
      </c>
      <c r="AA88" s="239">
        <f>+$X88</f>
        <v>31.95399993868606</v>
      </c>
    </row>
    <row r="89" spans="2:30" x14ac:dyDescent="0.2">
      <c r="B89" s="30" t="s">
        <v>505</v>
      </c>
      <c r="E89" s="240">
        <f t="shared" ref="E89:Z89" si="84">+SUM(E43:E44)/E47*E86+E45/E47*E87+E46/E47*E88</f>
        <v>2.4406078150720361</v>
      </c>
      <c r="F89" s="240">
        <f t="shared" si="84"/>
        <v>2.479689930286856</v>
      </c>
      <c r="G89" s="240">
        <f t="shared" si="84"/>
        <v>4.0008066610579052</v>
      </c>
      <c r="H89" s="240">
        <f t="shared" si="84"/>
        <v>4.5849265948394251</v>
      </c>
      <c r="I89" s="240">
        <f t="shared" si="84"/>
        <v>4.6962402956927471</v>
      </c>
      <c r="J89" s="240">
        <f t="shared" si="84"/>
        <v>5.0912207329128414</v>
      </c>
      <c r="K89" s="240">
        <f t="shared" si="84"/>
        <v>5.3721796553525074</v>
      </c>
      <c r="L89" s="240">
        <f t="shared" si="84"/>
        <v>4.9339082140353785</v>
      </c>
      <c r="M89" s="240">
        <f t="shared" si="84"/>
        <v>5.7074341944553186</v>
      </c>
      <c r="N89" s="240">
        <f t="shared" si="84"/>
        <v>5.2861338649652865</v>
      </c>
      <c r="O89" s="240">
        <f t="shared" si="84"/>
        <v>5.4576525068374568</v>
      </c>
      <c r="P89" s="240">
        <f t="shared" si="84"/>
        <v>6.2714781607035563</v>
      </c>
      <c r="Q89" s="240">
        <f t="shared" si="84"/>
        <v>7.4180446768276944</v>
      </c>
      <c r="R89" s="240">
        <f t="shared" si="84"/>
        <v>6.8872498452826107</v>
      </c>
      <c r="S89" s="240">
        <f t="shared" si="84"/>
        <v>6.7496351445699672</v>
      </c>
      <c r="T89" s="240">
        <f t="shared" si="84"/>
        <v>7.0572032935305558</v>
      </c>
      <c r="U89" s="240">
        <f t="shared" si="84"/>
        <v>8.0900458739094123</v>
      </c>
      <c r="V89" s="240">
        <f t="shared" si="84"/>
        <v>8.3368626975249498</v>
      </c>
      <c r="W89" s="240">
        <f t="shared" si="84"/>
        <v>8.0966418423616542</v>
      </c>
      <c r="X89" s="240">
        <f t="shared" si="84"/>
        <v>8.68368392685732</v>
      </c>
      <c r="Y89" s="240">
        <f t="shared" si="84"/>
        <v>9.2599606217534181</v>
      </c>
      <c r="Z89" s="240">
        <f t="shared" si="84"/>
        <v>9.653893563651561</v>
      </c>
      <c r="AA89" s="240">
        <f t="shared" ref="AA89" si="85">+SUM(AA43:AA44)/AA47*AA86+AA45/AA47*AA87+AA46/AA47*AA88</f>
        <v>9.6998483017800901</v>
      </c>
    </row>
    <row r="90" spans="2:30" x14ac:dyDescent="0.2">
      <c r="B90" s="30"/>
      <c r="E90" s="240"/>
      <c r="F90" s="240"/>
      <c r="G90" s="240"/>
      <c r="H90" s="240"/>
      <c r="I90" s="240"/>
      <c r="J90" s="240"/>
      <c r="K90" s="240"/>
      <c r="L90" s="240"/>
      <c r="M90" s="240"/>
      <c r="N90" s="240"/>
      <c r="O90" s="240"/>
      <c r="P90" s="240"/>
      <c r="Q90" s="240"/>
      <c r="R90" s="240"/>
      <c r="S90" s="240"/>
      <c r="T90" s="240"/>
      <c r="U90" s="240"/>
      <c r="V90" s="240"/>
      <c r="W90" s="240"/>
      <c r="X90" s="240"/>
      <c r="Y90" s="240"/>
      <c r="Z90" s="240"/>
      <c r="AA90" s="240"/>
    </row>
    <row r="91" spans="2:30" x14ac:dyDescent="0.2">
      <c r="B91" s="6" t="s">
        <v>521</v>
      </c>
      <c r="C91" s="5"/>
    </row>
    <row r="92" spans="2:30" x14ac:dyDescent="0.2">
      <c r="B92" s="24"/>
    </row>
    <row r="93" spans="2:30" x14ac:dyDescent="0.2">
      <c r="B93" t="s">
        <v>494</v>
      </c>
      <c r="E93" s="235">
        <f t="shared" ref="E93:AA93" si="86">+E75</f>
        <v>2.1736499618752243E-2</v>
      </c>
      <c r="F93" s="235">
        <f t="shared" si="86"/>
        <v>2.2244801721646938E-2</v>
      </c>
      <c r="G93" s="235">
        <f t="shared" si="86"/>
        <v>2.3278165239142945E-2</v>
      </c>
      <c r="H93" s="235">
        <f t="shared" si="86"/>
        <v>2.4606521215287884E-2</v>
      </c>
      <c r="I93" s="235">
        <f t="shared" si="86"/>
        <v>1.8301676680728008E-2</v>
      </c>
      <c r="J93" s="235">
        <f t="shared" si="86"/>
        <v>1.3781100451985467E-2</v>
      </c>
      <c r="K93" s="235">
        <f t="shared" si="86"/>
        <v>2.2657928002914884E-2</v>
      </c>
      <c r="L93" s="235">
        <f t="shared" si="86"/>
        <v>2.7090574550651524E-2</v>
      </c>
      <c r="M93" s="235">
        <f t="shared" si="86"/>
        <v>2.2763524058074393E-2</v>
      </c>
      <c r="N93" s="235">
        <f t="shared" si="86"/>
        <v>2.0851261244021323E-2</v>
      </c>
      <c r="O93" s="235">
        <f t="shared" si="86"/>
        <v>2.048250805993241E-2</v>
      </c>
      <c r="P93" s="235">
        <f t="shared" si="86"/>
        <v>2.3012364578167691E-2</v>
      </c>
      <c r="Q93" s="235">
        <f t="shared" si="86"/>
        <v>2.016708647782359E-2</v>
      </c>
      <c r="R93" s="235">
        <f t="shared" si="86"/>
        <v>1.8825536316117459E-2</v>
      </c>
      <c r="S93" s="235">
        <f t="shared" si="86"/>
        <v>1.682194936115778E-2</v>
      </c>
      <c r="T93" s="235">
        <f t="shared" si="86"/>
        <v>1.9648595352769985E-2</v>
      </c>
      <c r="U93" s="235">
        <f t="shared" si="86"/>
        <v>2.1337920294006298E-2</v>
      </c>
      <c r="V93" s="235">
        <f t="shared" si="86"/>
        <v>1.9899165647084396E-2</v>
      </c>
      <c r="W93" s="235">
        <f t="shared" si="86"/>
        <v>1.8754132288699425E-2</v>
      </c>
      <c r="X93" s="235">
        <f t="shared" si="86"/>
        <v>2.2697670342058884E-2</v>
      </c>
      <c r="Y93" s="235">
        <f t="shared" si="86"/>
        <v>1.8807529582909266E-2</v>
      </c>
      <c r="Z93" s="235">
        <f t="shared" si="86"/>
        <v>1.6326117829519603E-2</v>
      </c>
      <c r="AA93" s="235">
        <f t="shared" si="86"/>
        <v>1.4623328276726003E-2</v>
      </c>
      <c r="AD93" s="235"/>
    </row>
    <row r="94" spans="2:30" ht="13.5" x14ac:dyDescent="0.35">
      <c r="B94" t="s">
        <v>495</v>
      </c>
      <c r="E94" s="244">
        <f t="shared" ref="E94:Z94" si="87">+E83</f>
        <v>2.435223259236495E-2</v>
      </c>
      <c r="F94" s="244">
        <f t="shared" si="87"/>
        <v>2.3537295435124776E-2</v>
      </c>
      <c r="G94" s="244">
        <f t="shared" si="87"/>
        <v>2.0075371264928848E-2</v>
      </c>
      <c r="H94" s="244">
        <f t="shared" si="87"/>
        <v>1.6107334561295171E-2</v>
      </c>
      <c r="I94" s="244">
        <f t="shared" si="87"/>
        <v>1.1003844294716299E-2</v>
      </c>
      <c r="J94" s="244">
        <f t="shared" si="87"/>
        <v>1.601469713614759E-3</v>
      </c>
      <c r="K94" s="244">
        <f t="shared" si="87"/>
        <v>1.2393933701588349E-3</v>
      </c>
      <c r="L94" s="244">
        <f t="shared" si="87"/>
        <v>9.9245612960007293E-4</v>
      </c>
      <c r="M94" s="244">
        <f t="shared" si="87"/>
        <v>6.4758685567752668E-4</v>
      </c>
      <c r="N94" s="244">
        <f t="shared" si="87"/>
        <v>3.7777614046162521E-4</v>
      </c>
      <c r="O94" s="244">
        <f t="shared" si="87"/>
        <v>5.3015571103009053E-4</v>
      </c>
      <c r="P94" s="244">
        <f t="shared" si="87"/>
        <v>9.9765463412349997E-4</v>
      </c>
      <c r="Q94" s="244">
        <f t="shared" si="87"/>
        <v>7.036808694665303E-3</v>
      </c>
      <c r="R94" s="244">
        <f t="shared" si="87"/>
        <v>1.7290889775534245E-2</v>
      </c>
      <c r="S94" s="244">
        <f t="shared" si="87"/>
        <v>3.2657134873570318E-2</v>
      </c>
      <c r="T94" s="244">
        <f t="shared" si="87"/>
        <v>4.5571560376146431E-2</v>
      </c>
      <c r="U94" s="244">
        <f t="shared" si="87"/>
        <v>4.866353045708606E-2</v>
      </c>
      <c r="V94" s="244">
        <f t="shared" si="87"/>
        <v>5.1208394669099384E-2</v>
      </c>
      <c r="W94" s="244">
        <f t="shared" si="87"/>
        <v>5.479839195691677E-2</v>
      </c>
      <c r="X94" s="244">
        <f t="shared" si="87"/>
        <v>5.3493489635814323E-2</v>
      </c>
      <c r="Y94" s="244">
        <f t="shared" si="87"/>
        <v>5.0749582521027944E-2</v>
      </c>
      <c r="Z94" s="244">
        <f t="shared" si="87"/>
        <v>5.2359310328892072E-2</v>
      </c>
      <c r="AA94" s="244">
        <f t="shared" ref="AA94" si="88">+AA83</f>
        <v>4.6401785496938928E-2</v>
      </c>
      <c r="AD94" s="235"/>
    </row>
    <row r="95" spans="2:30" s="1" customFormat="1" x14ac:dyDescent="0.2">
      <c r="B95" s="38" t="s">
        <v>496</v>
      </c>
      <c r="E95" s="236">
        <f t="shared" ref="E95:Z95" si="89">+E40</f>
        <v>2.4843252970226243E-2</v>
      </c>
      <c r="F95" s="236">
        <f t="shared" si="89"/>
        <v>3.4822603729839474E-2</v>
      </c>
      <c r="G95" s="236">
        <f t="shared" si="89"/>
        <v>3.0596007823901959E-2</v>
      </c>
      <c r="H95" s="236">
        <f t="shared" si="89"/>
        <v>2.9393672841461809E-2</v>
      </c>
      <c r="I95" s="236">
        <f t="shared" si="89"/>
        <v>2.6721024296248862E-2</v>
      </c>
      <c r="J95" s="236">
        <f t="shared" si="89"/>
        <v>4.408803372083997E-2</v>
      </c>
      <c r="K95" s="236">
        <f t="shared" si="89"/>
        <v>2.2264976427159425E-2</v>
      </c>
      <c r="L95" s="236">
        <f t="shared" si="89"/>
        <v>2.2659043751799491E-2</v>
      </c>
      <c r="M95" s="236">
        <f t="shared" si="89"/>
        <v>2.7550832249811127E-2</v>
      </c>
      <c r="N95" s="236">
        <f t="shared" si="89"/>
        <v>1.522371033824235E-2</v>
      </c>
      <c r="O95" s="236">
        <f t="shared" si="89"/>
        <v>1.6712178840504969E-2</v>
      </c>
      <c r="P95" s="236">
        <f t="shared" si="89"/>
        <v>2.2643239284526558E-2</v>
      </c>
      <c r="Q95" s="236">
        <f t="shared" si="89"/>
        <v>1.9956008111606867E-2</v>
      </c>
      <c r="R95" s="236">
        <f t="shared" si="89"/>
        <v>1.797047444037007E-2</v>
      </c>
      <c r="S95" s="236">
        <f t="shared" si="89"/>
        <v>2.2870591412069801E-2</v>
      </c>
      <c r="T95" s="236">
        <f t="shared" si="89"/>
        <v>2.5548743469958352E-2</v>
      </c>
      <c r="U95" s="236">
        <f t="shared" si="89"/>
        <v>2.6446637279370397E-2</v>
      </c>
      <c r="V95" s="236">
        <f t="shared" si="89"/>
        <v>3.7905134506790082E-2</v>
      </c>
      <c r="W95" s="236">
        <f t="shared" si="89"/>
        <v>3.0758697110262207E-2</v>
      </c>
      <c r="X95" s="236">
        <f t="shared" si="89"/>
        <v>5.6128366560571047E-2</v>
      </c>
      <c r="Y95" s="236">
        <f t="shared" si="89"/>
        <v>5.9582016672195946E-2</v>
      </c>
      <c r="Z95" s="236">
        <f t="shared" si="89"/>
        <v>5.1002496016910606E-2</v>
      </c>
      <c r="AA95" s="236">
        <f t="shared" ref="AA95" si="90">+AA40</f>
        <v>5.0679322554573046E-2</v>
      </c>
      <c r="AD95" s="235"/>
    </row>
    <row r="96" spans="2:30" x14ac:dyDescent="0.2">
      <c r="B96" s="4"/>
    </row>
    <row r="97" spans="2:30" x14ac:dyDescent="0.2">
      <c r="B97" s="19" t="s">
        <v>513</v>
      </c>
    </row>
    <row r="98" spans="2:30" x14ac:dyDescent="0.2">
      <c r="B98" s="20" t="s">
        <v>494</v>
      </c>
      <c r="E98" s="241">
        <f>+(E95-E94)/(E93-E94)</f>
        <v>-0.18771808239398466</v>
      </c>
      <c r="F98" s="241">
        <f t="shared" ref="F98:H98" si="91">+(F95-F94)/(F93-F94)</f>
        <v>-8.7314221934188172</v>
      </c>
      <c r="G98" s="241">
        <f t="shared" si="91"/>
        <v>3.2848308831836954</v>
      </c>
      <c r="H98" s="241">
        <f t="shared" si="91"/>
        <v>1.5632482049238248</v>
      </c>
      <c r="I98" s="241">
        <f t="shared" ref="I98:Z98" si="92">+(I95-I94)/(I93-I94)</f>
        <v>2.1536778553120559</v>
      </c>
      <c r="J98" s="241">
        <f t="shared" si="92"/>
        <v>3.488329401758917</v>
      </c>
      <c r="K98" s="241">
        <f t="shared" si="92"/>
        <v>0.98165366667267207</v>
      </c>
      <c r="L98" s="241">
        <f t="shared" si="92"/>
        <v>0.83019730666570046</v>
      </c>
      <c r="M98" s="241">
        <f t="shared" si="92"/>
        <v>1.2164641791087152</v>
      </c>
      <c r="N98" s="241">
        <f t="shared" si="92"/>
        <v>0.72512980192119236</v>
      </c>
      <c r="O98" s="241">
        <f t="shared" si="92"/>
        <v>0.81103334817386252</v>
      </c>
      <c r="P98" s="241">
        <f t="shared" si="92"/>
        <v>0.98323278868632125</v>
      </c>
      <c r="Q98" s="241">
        <f t="shared" si="92"/>
        <v>0.98392430307244028</v>
      </c>
      <c r="R98" s="241">
        <f t="shared" si="92"/>
        <v>0.44282813459935993</v>
      </c>
      <c r="S98" s="241">
        <f t="shared" si="92"/>
        <v>0.61802518535884887</v>
      </c>
      <c r="T98" s="241">
        <f t="shared" si="92"/>
        <v>0.77239686463844648</v>
      </c>
      <c r="U98" s="241">
        <f t="shared" si="92"/>
        <v>0.81304289438094235</v>
      </c>
      <c r="V98" s="241">
        <f t="shared" si="92"/>
        <v>0.42489900191905572</v>
      </c>
      <c r="W98" s="241">
        <f t="shared" si="92"/>
        <v>0.66694933029383274</v>
      </c>
      <c r="X98" s="241">
        <f t="shared" si="92"/>
        <v>-8.5559565719721106E-2</v>
      </c>
      <c r="Y98" s="241">
        <f t="shared" si="92"/>
        <v>-0.27651429193605909</v>
      </c>
      <c r="Z98" s="241">
        <f t="shared" si="92"/>
        <v>3.7654568409532289E-2</v>
      </c>
      <c r="AA98" s="241">
        <f t="shared" ref="AA98" si="93">+(AA95-AA94)/(AA93-AA94)</f>
        <v>-0.13460493151043715</v>
      </c>
      <c r="AD98" s="241"/>
    </row>
    <row r="99" spans="2:30" ht="13.5" x14ac:dyDescent="0.35">
      <c r="B99" s="20" t="s">
        <v>495</v>
      </c>
      <c r="E99" s="242">
        <f>1-E98</f>
        <v>1.1877180823939846</v>
      </c>
      <c r="F99" s="242">
        <f t="shared" ref="F99:H99" si="94">1-F98</f>
        <v>9.7314221934188172</v>
      </c>
      <c r="G99" s="242">
        <f t="shared" si="94"/>
        <v>-2.2848308831836954</v>
      </c>
      <c r="H99" s="242">
        <f t="shared" si="94"/>
        <v>-0.56324820492382477</v>
      </c>
      <c r="I99" s="242">
        <f t="shared" ref="I99" si="95">1-I98</f>
        <v>-1.1536778553120559</v>
      </c>
      <c r="J99" s="242">
        <f t="shared" ref="J99" si="96">1-J98</f>
        <v>-2.488329401758917</v>
      </c>
      <c r="K99" s="242">
        <f t="shared" ref="K99" si="97">1-K98</f>
        <v>1.8346333327327935E-2</v>
      </c>
      <c r="L99" s="242">
        <f t="shared" ref="L99" si="98">1-L98</f>
        <v>0.16980269333429954</v>
      </c>
      <c r="M99" s="242">
        <f t="shared" ref="M99" si="99">1-M98</f>
        <v>-0.21646417910871518</v>
      </c>
      <c r="N99" s="242">
        <f t="shared" ref="N99" si="100">1-N98</f>
        <v>0.27487019807880764</v>
      </c>
      <c r="O99" s="242">
        <f t="shared" ref="O99" si="101">1-O98</f>
        <v>0.18896665182613748</v>
      </c>
      <c r="P99" s="242">
        <f t="shared" ref="P99" si="102">1-P98</f>
        <v>1.6767211313678754E-2</v>
      </c>
      <c r="Q99" s="242">
        <f t="shared" ref="Q99" si="103">1-Q98</f>
        <v>1.6075696927559724E-2</v>
      </c>
      <c r="R99" s="242">
        <f t="shared" ref="R99" si="104">1-R98</f>
        <v>0.55717186540064012</v>
      </c>
      <c r="S99" s="242">
        <f t="shared" ref="S99" si="105">1-S98</f>
        <v>0.38197481464115113</v>
      </c>
      <c r="T99" s="242">
        <f t="shared" ref="T99" si="106">1-T98</f>
        <v>0.22760313536155352</v>
      </c>
      <c r="U99" s="242">
        <f t="shared" ref="U99" si="107">1-U98</f>
        <v>0.18695710561905765</v>
      </c>
      <c r="V99" s="242">
        <f t="shared" ref="V99" si="108">1-V98</f>
        <v>0.57510099808094428</v>
      </c>
      <c r="W99" s="242">
        <f t="shared" ref="W99" si="109">1-W98</f>
        <v>0.33305066970616726</v>
      </c>
      <c r="X99" s="245">
        <f t="shared" ref="X99" si="110">1-X98</f>
        <v>1.085559565719721</v>
      </c>
      <c r="Y99" s="245">
        <f t="shared" ref="Y99" si="111">1-Y98</f>
        <v>1.276514291936059</v>
      </c>
      <c r="Z99" s="245">
        <f t="shared" ref="Z99:AA99" si="112">1-Z98</f>
        <v>0.9623454315904677</v>
      </c>
      <c r="AA99" s="245">
        <f t="shared" si="112"/>
        <v>1.1346049315104372</v>
      </c>
      <c r="AD99" s="242"/>
    </row>
    <row r="100" spans="2:30" x14ac:dyDescent="0.2">
      <c r="B100" s="30" t="s">
        <v>496</v>
      </c>
      <c r="E100" s="241">
        <f>SUM(E98:E99)</f>
        <v>0.99999999999999989</v>
      </c>
      <c r="F100" s="241">
        <f t="shared" ref="F100:H100" si="113">SUM(F98:F99)</f>
        <v>1</v>
      </c>
      <c r="G100" s="241">
        <f t="shared" si="113"/>
        <v>1</v>
      </c>
      <c r="H100" s="241">
        <f t="shared" si="113"/>
        <v>1</v>
      </c>
      <c r="I100" s="241">
        <f t="shared" ref="I100" si="114">SUM(I98:I99)</f>
        <v>1</v>
      </c>
      <c r="J100" s="241">
        <f t="shared" ref="J100" si="115">SUM(J98:J99)</f>
        <v>1</v>
      </c>
      <c r="K100" s="241">
        <f t="shared" ref="K100" si="116">SUM(K98:K99)</f>
        <v>1</v>
      </c>
      <c r="L100" s="241">
        <f t="shared" ref="L100" si="117">SUM(L98:L99)</f>
        <v>1</v>
      </c>
      <c r="M100" s="241">
        <f t="shared" ref="M100" si="118">SUM(M98:M99)</f>
        <v>1</v>
      </c>
      <c r="N100" s="241">
        <f t="shared" ref="N100" si="119">SUM(N98:N99)</f>
        <v>1</v>
      </c>
      <c r="O100" s="241">
        <f t="shared" ref="O100" si="120">SUM(O98:O99)</f>
        <v>1</v>
      </c>
      <c r="P100" s="241">
        <f t="shared" ref="P100" si="121">SUM(P98:P99)</f>
        <v>1</v>
      </c>
      <c r="Q100" s="241">
        <f t="shared" ref="Q100" si="122">SUM(Q98:Q99)</f>
        <v>1</v>
      </c>
      <c r="R100" s="241">
        <f t="shared" ref="R100" si="123">SUM(R98:R99)</f>
        <v>1</v>
      </c>
      <c r="S100" s="241">
        <f t="shared" ref="S100" si="124">SUM(S98:S99)</f>
        <v>1</v>
      </c>
      <c r="T100" s="241">
        <f t="shared" ref="T100" si="125">SUM(T98:T99)</f>
        <v>1</v>
      </c>
      <c r="U100" s="241">
        <f t="shared" ref="U100" si="126">SUM(U98:U99)</f>
        <v>1</v>
      </c>
      <c r="V100" s="241">
        <f t="shared" ref="V100" si="127">SUM(V98:V99)</f>
        <v>1</v>
      </c>
      <c r="W100" s="241">
        <f t="shared" ref="W100" si="128">SUM(W98:W99)</f>
        <v>1</v>
      </c>
      <c r="X100" s="241">
        <f t="shared" ref="X100" si="129">SUM(X98:X99)</f>
        <v>0.99999999999999989</v>
      </c>
      <c r="Y100" s="241">
        <f t="shared" ref="Y100" si="130">SUM(Y98:Y99)</f>
        <v>1</v>
      </c>
      <c r="Z100" s="241">
        <f t="shared" ref="Z100:AA100" si="131">SUM(Z98:Z99)</f>
        <v>1</v>
      </c>
      <c r="AA100" s="241">
        <f t="shared" si="131"/>
        <v>1</v>
      </c>
      <c r="AD100" s="243"/>
    </row>
    <row r="101" spans="2:30" x14ac:dyDescent="0.2">
      <c r="B101" s="30"/>
      <c r="E101" s="243"/>
      <c r="F101" s="243"/>
      <c r="G101" s="243"/>
      <c r="H101" s="243"/>
      <c r="I101" s="243"/>
      <c r="J101" s="243"/>
      <c r="K101" s="243"/>
      <c r="L101" s="243"/>
      <c r="M101" s="243"/>
      <c r="N101" s="243"/>
      <c r="O101" s="243"/>
      <c r="P101" s="243"/>
      <c r="Q101" s="243"/>
      <c r="R101" s="243"/>
      <c r="S101" s="243"/>
      <c r="T101" s="243"/>
      <c r="U101" s="243"/>
      <c r="V101" s="243"/>
      <c r="W101" s="243"/>
      <c r="X101" s="243"/>
      <c r="Y101" s="243"/>
      <c r="Z101" s="243"/>
      <c r="AA101" s="243"/>
      <c r="AD101" s="243"/>
    </row>
    <row r="102" spans="2:30" x14ac:dyDescent="0.2">
      <c r="B102" s="24" t="s">
        <v>512</v>
      </c>
      <c r="E102" s="243"/>
      <c r="F102" s="243"/>
      <c r="G102" s="243"/>
      <c r="H102" s="243"/>
      <c r="I102" s="243"/>
      <c r="J102" s="243"/>
      <c r="K102" s="243"/>
      <c r="L102" s="243"/>
      <c r="M102" s="243"/>
      <c r="N102" s="243"/>
      <c r="O102" s="243"/>
      <c r="P102" s="243"/>
      <c r="Q102" s="243"/>
      <c r="R102" s="243"/>
      <c r="S102" s="243"/>
      <c r="T102" s="243"/>
      <c r="U102" s="243"/>
      <c r="V102" s="243"/>
      <c r="W102" s="243"/>
      <c r="X102" s="243"/>
      <c r="Y102" s="243"/>
      <c r="Z102" s="243"/>
      <c r="AA102" s="243"/>
      <c r="AD102" s="243"/>
    </row>
    <row r="103" spans="2:30" x14ac:dyDescent="0.2">
      <c r="B103" t="s">
        <v>494</v>
      </c>
      <c r="E103" s="243"/>
      <c r="F103" s="243"/>
      <c r="G103" s="243"/>
      <c r="H103" s="235">
        <f>AVERAGE(E93:H93)</f>
        <v>2.2966496948707504E-2</v>
      </c>
      <c r="I103" s="235">
        <f t="shared" ref="I103:AA105" si="132">AVERAGE(F93:I93)</f>
        <v>2.2107791214201443E-2</v>
      </c>
      <c r="J103" s="235">
        <f t="shared" si="132"/>
        <v>1.9991865896786077E-2</v>
      </c>
      <c r="K103" s="235">
        <f t="shared" si="132"/>
        <v>1.9836806587729062E-2</v>
      </c>
      <c r="L103" s="235">
        <f t="shared" si="132"/>
        <v>2.0457819921569968E-2</v>
      </c>
      <c r="M103" s="235">
        <f t="shared" si="132"/>
        <v>2.1573281765906567E-2</v>
      </c>
      <c r="N103" s="235">
        <f t="shared" si="132"/>
        <v>2.3340821963915532E-2</v>
      </c>
      <c r="O103" s="235">
        <f t="shared" si="132"/>
        <v>2.2796966978169915E-2</v>
      </c>
      <c r="P103" s="235">
        <f t="shared" si="132"/>
        <v>2.1777414485048954E-2</v>
      </c>
      <c r="Q103" s="235">
        <f t="shared" si="132"/>
        <v>2.1128305089986251E-2</v>
      </c>
      <c r="R103" s="235">
        <f t="shared" si="132"/>
        <v>2.0621873858010287E-2</v>
      </c>
      <c r="S103" s="235">
        <f t="shared" si="132"/>
        <v>1.9706734183316629E-2</v>
      </c>
      <c r="T103" s="235">
        <f t="shared" si="132"/>
        <v>1.8865791876967204E-2</v>
      </c>
      <c r="U103" s="235">
        <f t="shared" si="132"/>
        <v>1.9158500331012882E-2</v>
      </c>
      <c r="V103" s="235">
        <f t="shared" si="132"/>
        <v>1.9426907663754614E-2</v>
      </c>
      <c r="W103" s="235">
        <f t="shared" si="132"/>
        <v>1.9909953395640029E-2</v>
      </c>
      <c r="X103" s="235">
        <f t="shared" si="132"/>
        <v>2.067222214296225E-2</v>
      </c>
      <c r="Y103" s="235">
        <f t="shared" si="132"/>
        <v>2.0039624465187991E-2</v>
      </c>
      <c r="Z103" s="235">
        <f t="shared" si="132"/>
        <v>1.9146362510796794E-2</v>
      </c>
      <c r="AA103" s="235">
        <f t="shared" si="132"/>
        <v>1.8113661507803441E-2</v>
      </c>
      <c r="AD103" s="243"/>
    </row>
    <row r="104" spans="2:30" ht="13.5" x14ac:dyDescent="0.35">
      <c r="B104" t="s">
        <v>495</v>
      </c>
      <c r="E104" s="243"/>
      <c r="F104" s="243"/>
      <c r="G104" s="243"/>
      <c r="H104" s="244">
        <f t="shared" ref="H104:H105" si="133">AVERAGE(E94:H94)</f>
        <v>2.1018058463428434E-2</v>
      </c>
      <c r="I104" s="244">
        <f t="shared" si="132"/>
        <v>1.7680961389016273E-2</v>
      </c>
      <c r="J104" s="244">
        <f t="shared" si="132"/>
        <v>1.2197004958638768E-2</v>
      </c>
      <c r="K104" s="244">
        <f t="shared" si="132"/>
        <v>7.4880104849462661E-3</v>
      </c>
      <c r="L104" s="244">
        <f t="shared" si="132"/>
        <v>3.7092908770224912E-3</v>
      </c>
      <c r="M104" s="244">
        <f t="shared" si="132"/>
        <v>1.1202265172627983E-3</v>
      </c>
      <c r="N104" s="244">
        <f t="shared" si="132"/>
        <v>8.1430312397451495E-4</v>
      </c>
      <c r="O104" s="244">
        <f t="shared" si="132"/>
        <v>6.3699370919232876E-4</v>
      </c>
      <c r="P104" s="244">
        <f t="shared" si="132"/>
        <v>6.3829333532318551E-4</v>
      </c>
      <c r="Q104" s="244">
        <f t="shared" si="132"/>
        <v>2.2355987950701296E-3</v>
      </c>
      <c r="R104" s="244">
        <f t="shared" si="132"/>
        <v>6.4638772038382846E-3</v>
      </c>
      <c r="S104" s="244">
        <f t="shared" si="132"/>
        <v>1.4495621994473341E-2</v>
      </c>
      <c r="T104" s="244">
        <f t="shared" si="132"/>
        <v>2.5639098429979072E-2</v>
      </c>
      <c r="U104" s="244">
        <f t="shared" si="132"/>
        <v>3.6045778870584258E-2</v>
      </c>
      <c r="V104" s="244">
        <f t="shared" si="132"/>
        <v>4.4525155093975546E-2</v>
      </c>
      <c r="W104" s="244">
        <f t="shared" si="132"/>
        <v>5.0060469364812163E-2</v>
      </c>
      <c r="X104" s="244">
        <f t="shared" si="132"/>
        <v>5.2040951679729136E-2</v>
      </c>
      <c r="Y104" s="244">
        <f t="shared" si="132"/>
        <v>5.25624646957146E-2</v>
      </c>
      <c r="Z104" s="244">
        <f t="shared" si="132"/>
        <v>5.2850193610662774E-2</v>
      </c>
      <c r="AA104" s="244">
        <f t="shared" si="132"/>
        <v>5.0751041995668315E-2</v>
      </c>
      <c r="AD104" s="243"/>
    </row>
    <row r="105" spans="2:30" x14ac:dyDescent="0.2">
      <c r="B105" s="38" t="s">
        <v>496</v>
      </c>
      <c r="E105" s="243"/>
      <c r="F105" s="243"/>
      <c r="G105" s="243"/>
      <c r="H105" s="236">
        <f t="shared" si="133"/>
        <v>2.9913884341357371E-2</v>
      </c>
      <c r="I105" s="236">
        <f t="shared" si="132"/>
        <v>3.0383327172863024E-2</v>
      </c>
      <c r="J105" s="236">
        <f t="shared" si="132"/>
        <v>3.2699684670613148E-2</v>
      </c>
      <c r="K105" s="236">
        <f t="shared" si="132"/>
        <v>3.0616926821427515E-2</v>
      </c>
      <c r="L105" s="236">
        <f t="shared" si="132"/>
        <v>2.8933269549011938E-2</v>
      </c>
      <c r="M105" s="236">
        <f t="shared" si="132"/>
        <v>2.9140721537402502E-2</v>
      </c>
      <c r="N105" s="236">
        <f t="shared" si="132"/>
        <v>2.1924640691753098E-2</v>
      </c>
      <c r="O105" s="236">
        <f t="shared" si="132"/>
        <v>2.0536441295089483E-2</v>
      </c>
      <c r="P105" s="236">
        <f t="shared" si="132"/>
        <v>2.0532490178271252E-2</v>
      </c>
      <c r="Q105" s="236">
        <f t="shared" si="132"/>
        <v>1.8633784143720186E-2</v>
      </c>
      <c r="R105" s="236">
        <f t="shared" si="132"/>
        <v>1.9320475169252116E-2</v>
      </c>
      <c r="S105" s="236">
        <f t="shared" si="132"/>
        <v>2.0860078312143326E-2</v>
      </c>
      <c r="T105" s="236">
        <f t="shared" si="132"/>
        <v>2.1586454358501272E-2</v>
      </c>
      <c r="U105" s="236">
        <f t="shared" si="132"/>
        <v>2.3209111650442156E-2</v>
      </c>
      <c r="V105" s="236">
        <f t="shared" si="132"/>
        <v>2.8192776667047156E-2</v>
      </c>
      <c r="W105" s="236">
        <f t="shared" si="132"/>
        <v>3.016480309159526E-2</v>
      </c>
      <c r="X105" s="236">
        <f t="shared" si="132"/>
        <v>3.7809708864248434E-2</v>
      </c>
      <c r="Y105" s="236">
        <f t="shared" si="132"/>
        <v>4.609355371245482E-2</v>
      </c>
      <c r="Z105" s="236">
        <f t="shared" si="132"/>
        <v>4.9367894089984946E-2</v>
      </c>
      <c r="AA105" s="236">
        <f t="shared" si="132"/>
        <v>5.4348050451062661E-2</v>
      </c>
      <c r="AD105" s="243"/>
    </row>
    <row r="106" spans="2:30" x14ac:dyDescent="0.2">
      <c r="B106" s="30"/>
      <c r="E106" s="243"/>
      <c r="F106" s="243"/>
      <c r="G106" s="243"/>
      <c r="H106" s="243"/>
      <c r="I106" s="243"/>
      <c r="J106" s="243"/>
      <c r="K106" s="243"/>
      <c r="L106" s="243"/>
      <c r="M106" s="243"/>
      <c r="N106" s="243"/>
      <c r="O106" s="243"/>
      <c r="P106" s="243"/>
      <c r="Q106" s="243"/>
      <c r="R106" s="243"/>
      <c r="S106" s="243"/>
      <c r="T106" s="243"/>
      <c r="U106" s="243"/>
      <c r="V106" s="243"/>
      <c r="W106" s="243"/>
      <c r="X106" s="243"/>
      <c r="Y106" s="243"/>
      <c r="Z106" s="243"/>
      <c r="AA106" s="243"/>
      <c r="AD106" s="243"/>
    </row>
    <row r="107" spans="2:30" x14ac:dyDescent="0.2">
      <c r="B107" s="19" t="s">
        <v>513</v>
      </c>
      <c r="E107" s="243"/>
      <c r="F107" s="243"/>
      <c r="G107" s="243"/>
      <c r="H107" s="243"/>
      <c r="I107" s="243"/>
      <c r="J107" s="243"/>
      <c r="K107" s="243"/>
      <c r="L107" s="243"/>
      <c r="M107" s="243"/>
      <c r="N107" s="243"/>
      <c r="O107" s="243"/>
      <c r="P107" s="243"/>
      <c r="Q107" s="243"/>
      <c r="R107" s="243"/>
      <c r="S107" s="243"/>
      <c r="T107" s="243"/>
      <c r="U107" s="243"/>
      <c r="V107" s="243"/>
      <c r="W107" s="243"/>
      <c r="X107" s="243"/>
      <c r="Y107" s="243"/>
      <c r="Z107" s="243"/>
      <c r="AA107" s="243"/>
      <c r="AD107" s="243"/>
    </row>
    <row r="108" spans="2:30" x14ac:dyDescent="0.2">
      <c r="B108" s="20" t="s">
        <v>494</v>
      </c>
      <c r="E108" s="243"/>
      <c r="F108" s="243"/>
      <c r="G108" s="243"/>
      <c r="H108" s="241">
        <f t="shared" ref="H108:Z108" si="134">+(H105-H104)/(H103-H104)</f>
        <v>4.5656180295857824</v>
      </c>
      <c r="I108" s="241">
        <f t="shared" si="134"/>
        <v>2.869404581938142</v>
      </c>
      <c r="J108" s="241">
        <f t="shared" si="134"/>
        <v>2.6302816528305479</v>
      </c>
      <c r="K108" s="241">
        <f t="shared" si="134"/>
        <v>1.8729693278577302</v>
      </c>
      <c r="L108" s="241">
        <f t="shared" si="134"/>
        <v>1.5060414323490201</v>
      </c>
      <c r="M108" s="241">
        <f t="shared" si="134"/>
        <v>1.3699906776518256</v>
      </c>
      <c r="N108" s="241">
        <f t="shared" si="134"/>
        <v>0.93713270646810065</v>
      </c>
      <c r="O108" s="241">
        <f t="shared" si="134"/>
        <v>0.89799059522129432</v>
      </c>
      <c r="P108" s="241">
        <f t="shared" si="134"/>
        <v>0.94110803860008851</v>
      </c>
      <c r="Q108" s="241">
        <f t="shared" si="134"/>
        <v>0.86796381061948114</v>
      </c>
      <c r="R108" s="241">
        <f t="shared" si="134"/>
        <v>0.90808030821403807</v>
      </c>
      <c r="S108" s="241">
        <f t="shared" si="134"/>
        <v>1.2213239874773651</v>
      </c>
      <c r="T108" s="241">
        <f t="shared" si="134"/>
        <v>0.59832580140282021</v>
      </c>
      <c r="U108" s="241">
        <f t="shared" si="134"/>
        <v>0.76013830115150782</v>
      </c>
      <c r="V108" s="241">
        <f t="shared" si="134"/>
        <v>0.65073780439595508</v>
      </c>
      <c r="W108" s="241">
        <f t="shared" si="134"/>
        <v>0.65987813586870414</v>
      </c>
      <c r="X108" s="241">
        <f t="shared" si="134"/>
        <v>0.45367609800073172</v>
      </c>
      <c r="Y108" s="241">
        <f t="shared" si="134"/>
        <v>0.19890363010755521</v>
      </c>
      <c r="Z108" s="241">
        <f t="shared" si="134"/>
        <v>0.10332058424929845</v>
      </c>
      <c r="AA108" s="241">
        <f t="shared" ref="AA108" si="135">+(AA105-AA104)/(AA103-AA104)</f>
        <v>-0.1102113099037398</v>
      </c>
      <c r="AD108" s="243"/>
    </row>
    <row r="109" spans="2:30" ht="13.5" x14ac:dyDescent="0.35">
      <c r="B109" s="20" t="s">
        <v>495</v>
      </c>
      <c r="E109" s="243"/>
      <c r="F109" s="243"/>
      <c r="G109" s="243"/>
      <c r="H109" s="242">
        <f t="shared" ref="H109" si="136">1-H108</f>
        <v>-3.5656180295857824</v>
      </c>
      <c r="I109" s="242">
        <f t="shared" ref="I109" si="137">1-I108</f>
        <v>-1.869404581938142</v>
      </c>
      <c r="J109" s="242">
        <f t="shared" ref="J109" si="138">1-J108</f>
        <v>-1.6302816528305479</v>
      </c>
      <c r="K109" s="242">
        <f t="shared" ref="K109" si="139">1-K108</f>
        <v>-0.87296932785773018</v>
      </c>
      <c r="L109" s="242">
        <f t="shared" ref="L109" si="140">1-L108</f>
        <v>-0.5060414323490201</v>
      </c>
      <c r="M109" s="242">
        <f t="shared" ref="M109" si="141">1-M108</f>
        <v>-0.36999067765182558</v>
      </c>
      <c r="N109" s="242">
        <f t="shared" ref="N109" si="142">1-N108</f>
        <v>6.2867293531899349E-2</v>
      </c>
      <c r="O109" s="242">
        <f t="shared" ref="O109" si="143">1-O108</f>
        <v>0.10200940477870568</v>
      </c>
      <c r="P109" s="242">
        <f t="shared" ref="P109" si="144">1-P108</f>
        <v>5.8891961399911485E-2</v>
      </c>
      <c r="Q109" s="242">
        <f t="shared" ref="Q109" si="145">1-Q108</f>
        <v>0.13203618938051886</v>
      </c>
      <c r="R109" s="242">
        <f t="shared" ref="R109" si="146">1-R108</f>
        <v>9.1919691785961932E-2</v>
      </c>
      <c r="S109" s="242">
        <f t="shared" ref="S109" si="147">1-S108</f>
        <v>-0.22132398747736515</v>
      </c>
      <c r="T109" s="242">
        <f t="shared" ref="T109" si="148">1-T108</f>
        <v>0.40167419859717979</v>
      </c>
      <c r="U109" s="242">
        <f t="shared" ref="U109" si="149">1-U108</f>
        <v>0.23986169884849218</v>
      </c>
      <c r="V109" s="242">
        <f t="shared" ref="V109" si="150">1-V108</f>
        <v>0.34926219560404492</v>
      </c>
      <c r="W109" s="242">
        <f t="shared" ref="W109" si="151">1-W108</f>
        <v>0.34012186413129586</v>
      </c>
      <c r="X109" s="242">
        <f t="shared" ref="X109" si="152">1-X108</f>
        <v>0.54632390199926828</v>
      </c>
      <c r="Y109" s="242">
        <f t="shared" ref="Y109" si="153">1-Y108</f>
        <v>0.80109636989244482</v>
      </c>
      <c r="Z109" s="245">
        <f t="shared" ref="Z109:AA109" si="154">1-Z108</f>
        <v>0.89667941575070154</v>
      </c>
      <c r="AA109" s="245">
        <f t="shared" si="154"/>
        <v>1.1102113099037398</v>
      </c>
      <c r="AD109" s="243"/>
    </row>
    <row r="110" spans="2:30" x14ac:dyDescent="0.2">
      <c r="B110" s="30" t="s">
        <v>496</v>
      </c>
      <c r="E110" s="243"/>
      <c r="F110" s="243"/>
      <c r="G110" s="243"/>
      <c r="H110" s="241">
        <f t="shared" ref="H110" si="155">SUM(H108:H109)</f>
        <v>1</v>
      </c>
      <c r="I110" s="241">
        <f t="shared" ref="I110" si="156">SUM(I108:I109)</f>
        <v>1</v>
      </c>
      <c r="J110" s="241">
        <f t="shared" ref="J110" si="157">SUM(J108:J109)</f>
        <v>1</v>
      </c>
      <c r="K110" s="241">
        <f t="shared" ref="K110" si="158">SUM(K108:K109)</f>
        <v>1</v>
      </c>
      <c r="L110" s="241">
        <f t="shared" ref="L110" si="159">SUM(L108:L109)</f>
        <v>1</v>
      </c>
      <c r="M110" s="241">
        <f t="shared" ref="M110" si="160">SUM(M108:M109)</f>
        <v>1</v>
      </c>
      <c r="N110" s="241">
        <f t="shared" ref="N110" si="161">SUM(N108:N109)</f>
        <v>1</v>
      </c>
      <c r="O110" s="241">
        <f t="shared" ref="O110" si="162">SUM(O108:O109)</f>
        <v>1</v>
      </c>
      <c r="P110" s="241">
        <f t="shared" ref="P110" si="163">SUM(P108:P109)</f>
        <v>1</v>
      </c>
      <c r="Q110" s="241">
        <f t="shared" ref="Q110" si="164">SUM(Q108:Q109)</f>
        <v>1</v>
      </c>
      <c r="R110" s="241">
        <f t="shared" ref="R110" si="165">SUM(R108:R109)</f>
        <v>1</v>
      </c>
      <c r="S110" s="241">
        <f t="shared" ref="S110" si="166">SUM(S108:S109)</f>
        <v>1</v>
      </c>
      <c r="T110" s="241">
        <f t="shared" ref="T110" si="167">SUM(T108:T109)</f>
        <v>1</v>
      </c>
      <c r="U110" s="241">
        <f t="shared" ref="U110" si="168">SUM(U108:U109)</f>
        <v>1</v>
      </c>
      <c r="V110" s="241">
        <f t="shared" ref="V110" si="169">SUM(V108:V109)</f>
        <v>1</v>
      </c>
      <c r="W110" s="241">
        <f t="shared" ref="W110" si="170">SUM(W108:W109)</f>
        <v>1</v>
      </c>
      <c r="X110" s="241">
        <f t="shared" ref="X110" si="171">SUM(X108:X109)</f>
        <v>1</v>
      </c>
      <c r="Y110" s="241">
        <f t="shared" ref="Y110" si="172">SUM(Y108:Y109)</f>
        <v>1</v>
      </c>
      <c r="Z110" s="241">
        <f t="shared" ref="Z110:AA110" si="173">SUM(Z108:Z109)</f>
        <v>1</v>
      </c>
      <c r="AA110" s="241">
        <f t="shared" si="173"/>
        <v>1</v>
      </c>
      <c r="AD110" s="243"/>
    </row>
  </sheetData>
  <phoneticPr fontId="4" type="noConversion"/>
  <pageMargins left="0.3" right="0.3" top="0.3" bottom="0.3" header="0.3" footer="0.3"/>
  <pageSetup scale="68" fitToHeight="2" orientation="landscape" r:id="rId1"/>
  <headerFooter>
    <oddFooter>Page &amp;P of &amp;N</oddFooter>
  </headerFooter>
  <rowBreaks count="1" manualBreakCount="1">
    <brk id="26" min="1" max="26"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37E79-0711-40DB-BFDB-357DA273BC2B}">
  <dimension ref="A2:V24"/>
  <sheetViews>
    <sheetView workbookViewId="0">
      <selection activeCell="R24" sqref="R24"/>
    </sheetView>
  </sheetViews>
  <sheetFormatPr defaultRowHeight="11.25" x14ac:dyDescent="0.2"/>
  <cols>
    <col min="1" max="1" width="2.6640625" customWidth="1"/>
    <col min="2" max="2" width="20.6640625" customWidth="1"/>
    <col min="3" max="3" width="2.6640625" customWidth="1"/>
    <col min="19" max="19" width="2.6640625" customWidth="1"/>
  </cols>
  <sheetData>
    <row r="2" spans="1:22" ht="10.15" x14ac:dyDescent="0.2">
      <c r="B2" s="1" t="s">
        <v>0</v>
      </c>
      <c r="V2" s="59">
        <f ca="1">TODAY()</f>
        <v>45796</v>
      </c>
    </row>
    <row r="3" spans="1:22" s="2" customFormat="1" ht="10.15" x14ac:dyDescent="0.2">
      <c r="B3" s="2" t="s">
        <v>399</v>
      </c>
    </row>
    <row r="4" spans="1:22" ht="10.15" x14ac:dyDescent="0.2">
      <c r="B4" s="3" t="s">
        <v>108</v>
      </c>
    </row>
    <row r="6" spans="1:22" ht="10.15" x14ac:dyDescent="0.2">
      <c r="D6" s="8" t="s">
        <v>59</v>
      </c>
      <c r="E6" s="9"/>
      <c r="F6" s="9"/>
      <c r="G6" s="9"/>
      <c r="H6" s="9"/>
      <c r="I6" s="9"/>
      <c r="J6" s="9"/>
      <c r="K6" s="9"/>
      <c r="L6" s="9"/>
      <c r="M6" s="9"/>
      <c r="N6" s="9"/>
      <c r="O6" s="9"/>
      <c r="P6" s="172"/>
      <c r="Q6" s="172"/>
      <c r="R6" s="172"/>
      <c r="T6" s="190"/>
      <c r="U6" s="191" t="s">
        <v>402</v>
      </c>
      <c r="V6" s="190"/>
    </row>
    <row r="7" spans="1:22" ht="12" x14ac:dyDescent="0.35">
      <c r="D7" s="7" t="s">
        <v>38</v>
      </c>
      <c r="E7" s="7" t="s">
        <v>39</v>
      </c>
      <c r="F7" s="7" t="s">
        <v>40</v>
      </c>
      <c r="G7" s="7" t="s">
        <v>41</v>
      </c>
      <c r="H7" s="7" t="s">
        <v>42</v>
      </c>
      <c r="I7" s="7" t="s">
        <v>43</v>
      </c>
      <c r="J7" s="7" t="s">
        <v>44</v>
      </c>
      <c r="K7" s="7" t="s">
        <v>45</v>
      </c>
      <c r="L7" s="7" t="s">
        <v>46</v>
      </c>
      <c r="M7" s="7" t="s">
        <v>47</v>
      </c>
      <c r="N7" s="7" t="s">
        <v>48</v>
      </c>
      <c r="O7" s="7" t="s">
        <v>240</v>
      </c>
      <c r="P7" s="7" t="s">
        <v>241</v>
      </c>
      <c r="Q7" s="7" t="s">
        <v>242</v>
      </c>
      <c r="R7" s="7" t="s">
        <v>243</v>
      </c>
      <c r="T7" s="7" t="s">
        <v>55</v>
      </c>
      <c r="U7" s="7" t="s">
        <v>56</v>
      </c>
      <c r="V7" s="7" t="s">
        <v>259</v>
      </c>
    </row>
    <row r="9" spans="1:22" ht="10.15" x14ac:dyDescent="0.2">
      <c r="B9" t="s">
        <v>401</v>
      </c>
      <c r="D9" s="17">
        <f>+IFERROR(D11-D10,"n/a")</f>
        <v>-3174.1470000000008</v>
      </c>
      <c r="E9" s="17">
        <f t="shared" ref="E9:O9" si="0">+IFERROR(E11-E10,"n/a")</f>
        <v>3185.2420000000002</v>
      </c>
      <c r="F9" s="17">
        <f t="shared" si="0"/>
        <v>3260.7249999999985</v>
      </c>
      <c r="G9" s="17">
        <f t="shared" si="0"/>
        <v>8399.6720000000132</v>
      </c>
      <c r="H9" s="17">
        <f t="shared" si="0"/>
        <v>3677.1559999999972</v>
      </c>
      <c r="I9" s="17">
        <f t="shared" si="0"/>
        <v>10541.514999999998</v>
      </c>
      <c r="J9" s="17">
        <f t="shared" si="0"/>
        <v>14371.366462801932</v>
      </c>
      <c r="K9" s="17">
        <f t="shared" si="0"/>
        <v>14537.898734954537</v>
      </c>
      <c r="L9" s="17">
        <f t="shared" si="0"/>
        <v>12610.161025457739</v>
      </c>
      <c r="M9" s="17">
        <f t="shared" si="0"/>
        <v>21367.657658964479</v>
      </c>
      <c r="N9" s="17">
        <f t="shared" si="0"/>
        <v>24838.632954366036</v>
      </c>
      <c r="O9" s="17">
        <f t="shared" si="0"/>
        <v>32417.154102986126</v>
      </c>
      <c r="P9" s="17">
        <f t="shared" ref="P9:Q9" si="1">+IFERROR(P11-P10,"n/a")</f>
        <v>31478.532250767406</v>
      </c>
      <c r="Q9" s="17">
        <f t="shared" si="1"/>
        <v>37414.621499758505</v>
      </c>
      <c r="R9" s="17">
        <f t="shared" ref="R9" si="2">+IFERROR(R11-R10,"n/a")</f>
        <v>30529.804117568692</v>
      </c>
    </row>
    <row r="10" spans="1:22" ht="12" x14ac:dyDescent="0.35">
      <c r="A10" s="193" t="s">
        <v>406</v>
      </c>
      <c r="B10" t="s">
        <v>400</v>
      </c>
      <c r="D10" s="23">
        <v>0</v>
      </c>
      <c r="E10" s="23">
        <v>0</v>
      </c>
      <c r="F10" s="23">
        <v>0</v>
      </c>
      <c r="G10" s="23">
        <v>0</v>
      </c>
      <c r="H10" s="23">
        <v>0</v>
      </c>
      <c r="I10" s="23">
        <v>0</v>
      </c>
      <c r="J10" s="194">
        <f>_xll.VAData("PDD_US",J$7,$A10,"consensus.vaactuals")</f>
        <v>-2069.8714628019334</v>
      </c>
      <c r="K10" s="194">
        <f>_xll.VAData("PDD_US",K$7,$A10,"consensus.vaactuals")</f>
        <v>-2937.7787349545451</v>
      </c>
      <c r="L10" s="194">
        <f>_xll.VAData("PDD_US",L$7,$A10,"consensus.vaactuals")</f>
        <v>-4147.7410254577371</v>
      </c>
      <c r="M10" s="194">
        <f>_xll.VAData("PDD_US",M$7,$A10,"consensus.vaactuals")</f>
        <v>-6758.2736589644837</v>
      </c>
      <c r="N10" s="194">
        <f>_xll.VAData("PDD_US",N$7,$A10,"consensus.vaactuals")</f>
        <v>-6712.7929543660402</v>
      </c>
      <c r="O10" s="194">
        <f>_xll.VAData("PDD_US",O$7,$A10,"consensus.vaactuals")</f>
        <v>-7837.2421029861307</v>
      </c>
      <c r="P10" s="194">
        <f>_xll.VAData("PDD_US",P$7,$A10,"consensus.vaactuals")</f>
        <v>-2926.3372507673953</v>
      </c>
      <c r="Q10" s="194">
        <f>_xll.VAData("PDD_US",Q$7,$A10,"consensus.vaactuals")</f>
        <v>-2427.3234997585</v>
      </c>
      <c r="R10" s="194">
        <f>_xll.VAData("PDD_US",R$7,$A10,"consensus.vaactuals")</f>
        <v>-3759.341117568697</v>
      </c>
    </row>
    <row r="11" spans="1:22" ht="10.15" x14ac:dyDescent="0.2">
      <c r="B11" s="4" t="s">
        <v>93</v>
      </c>
      <c r="D11" s="160">
        <f>+'Historical Financials'!T61</f>
        <v>-3174.1470000000008</v>
      </c>
      <c r="E11" s="160">
        <f>+'Historical Financials'!U61</f>
        <v>3185.2420000000002</v>
      </c>
      <c r="F11" s="160">
        <f>+'Historical Financials'!V61</f>
        <v>3260.7249999999985</v>
      </c>
      <c r="G11" s="160">
        <f>+'Historical Financials'!W61</f>
        <v>8399.6720000000132</v>
      </c>
      <c r="H11" s="160">
        <f>+'Historical Financials'!X61</f>
        <v>3677.1559999999972</v>
      </c>
      <c r="I11" s="160">
        <f>+'Historical Financials'!Y61</f>
        <v>10541.514999999998</v>
      </c>
      <c r="J11" s="160">
        <f>+'Historical Financials'!Z61</f>
        <v>12301.494999999999</v>
      </c>
      <c r="K11" s="160">
        <f>+'Historical Financials'!AA61</f>
        <v>11600.119999999992</v>
      </c>
      <c r="L11" s="160">
        <f>+'Historical Financials'!AB61</f>
        <v>8462.4200000000019</v>
      </c>
      <c r="M11" s="160">
        <f>+'Historical Financials'!AC61</f>
        <v>14609.383999999995</v>
      </c>
      <c r="N11" s="160">
        <f>+'Historical Financials'!AD61</f>
        <v>18125.839999999997</v>
      </c>
      <c r="O11" s="160">
        <f>+'Historical Financials'!AE61</f>
        <v>24579.911999999997</v>
      </c>
      <c r="P11" s="160">
        <f>+'Historical Financials'!AF61</f>
        <v>28552.195000000011</v>
      </c>
      <c r="Q11" s="160">
        <f>+'Historical Financials'!AG61</f>
        <v>34987.298000000003</v>
      </c>
      <c r="R11" s="160">
        <f>+'Historical Financials'!AH61</f>
        <v>26770.462999999996</v>
      </c>
    </row>
    <row r="12" spans="1:22" s="1" customFormat="1" ht="10.15" x14ac:dyDescent="0.2">
      <c r="B12" s="38"/>
      <c r="D12" s="42"/>
      <c r="E12" s="42"/>
      <c r="F12" s="42"/>
      <c r="G12" s="42"/>
      <c r="H12" s="42"/>
      <c r="I12" s="42"/>
      <c r="J12" s="42"/>
      <c r="K12" s="42"/>
      <c r="L12" s="42"/>
      <c r="M12" s="42"/>
      <c r="N12" s="42"/>
      <c r="O12" s="42"/>
      <c r="P12" s="42"/>
      <c r="Q12" s="42"/>
      <c r="R12" s="42"/>
    </row>
    <row r="13" spans="1:22" s="1" customFormat="1" ht="10.15" x14ac:dyDescent="0.2">
      <c r="B13" s="19" t="s">
        <v>404</v>
      </c>
      <c r="D13" s="42"/>
      <c r="E13" s="42"/>
      <c r="F13" s="42"/>
      <c r="G13" s="42"/>
      <c r="H13" s="42"/>
      <c r="I13" s="42"/>
      <c r="J13" s="42"/>
      <c r="K13" s="42"/>
      <c r="L13" s="42"/>
      <c r="M13" s="42"/>
      <c r="N13" s="42"/>
      <c r="O13" s="42"/>
      <c r="P13" s="42"/>
      <c r="Q13" s="42"/>
      <c r="R13" s="42"/>
    </row>
    <row r="14" spans="1:22" s="1" customFormat="1" ht="10.15" x14ac:dyDescent="0.2">
      <c r="B14" s="20" t="s">
        <v>401</v>
      </c>
      <c r="D14" s="42"/>
      <c r="E14" s="53">
        <f>+E9-D9</f>
        <v>6359.389000000001</v>
      </c>
      <c r="F14" s="53">
        <f t="shared" ref="F14:O14" si="3">+F9-E9</f>
        <v>75.482999999998356</v>
      </c>
      <c r="G14" s="53">
        <f t="shared" si="3"/>
        <v>5138.9470000000147</v>
      </c>
      <c r="H14" s="53">
        <f t="shared" si="3"/>
        <v>-4722.516000000016</v>
      </c>
      <c r="I14" s="53">
        <f t="shared" si="3"/>
        <v>6864.3590000000004</v>
      </c>
      <c r="J14" s="53">
        <f t="shared" si="3"/>
        <v>3829.8514628019348</v>
      </c>
      <c r="K14" s="53">
        <f t="shared" si="3"/>
        <v>166.53227215260449</v>
      </c>
      <c r="L14" s="53">
        <f t="shared" si="3"/>
        <v>-1927.7377094967978</v>
      </c>
      <c r="M14" s="53">
        <f t="shared" si="3"/>
        <v>8757.4966335067402</v>
      </c>
      <c r="N14" s="53">
        <f t="shared" si="3"/>
        <v>3470.9752954015567</v>
      </c>
      <c r="O14" s="53">
        <f t="shared" si="3"/>
        <v>7578.5211486200897</v>
      </c>
      <c r="P14" s="53">
        <f t="shared" ref="P14:P16" si="4">+P9-O9</f>
        <v>-938.62185221871914</v>
      </c>
      <c r="Q14" s="53">
        <f t="shared" ref="Q14:R16" si="5">+Q9-P9</f>
        <v>5936.0892489910984</v>
      </c>
      <c r="R14" s="53">
        <f t="shared" si="5"/>
        <v>-6884.8173821898126</v>
      </c>
    </row>
    <row r="15" spans="1:22" s="1" customFormat="1" ht="12" x14ac:dyDescent="0.35">
      <c r="B15" s="20" t="s">
        <v>400</v>
      </c>
      <c r="D15" s="42"/>
      <c r="E15" s="195">
        <f t="shared" ref="E15:O16" si="6">+E10-D10</f>
        <v>0</v>
      </c>
      <c r="F15" s="195">
        <f t="shared" si="6"/>
        <v>0</v>
      </c>
      <c r="G15" s="195">
        <f t="shared" si="6"/>
        <v>0</v>
      </c>
      <c r="H15" s="195">
        <f t="shared" si="6"/>
        <v>0</v>
      </c>
      <c r="I15" s="195">
        <f t="shared" si="6"/>
        <v>0</v>
      </c>
      <c r="J15" s="195">
        <f t="shared" si="6"/>
        <v>-2069.8714628019334</v>
      </c>
      <c r="K15" s="195">
        <f t="shared" si="6"/>
        <v>-867.90727215261177</v>
      </c>
      <c r="L15" s="195">
        <f t="shared" si="6"/>
        <v>-1209.962290503192</v>
      </c>
      <c r="M15" s="195">
        <f t="shared" si="6"/>
        <v>-2610.5326335067466</v>
      </c>
      <c r="N15" s="195">
        <f t="shared" si="6"/>
        <v>45.480704598443481</v>
      </c>
      <c r="O15" s="195">
        <f t="shared" si="6"/>
        <v>-1124.4491486200905</v>
      </c>
      <c r="P15" s="195">
        <f t="shared" si="4"/>
        <v>4910.904852218735</v>
      </c>
      <c r="Q15" s="195">
        <f t="shared" si="5"/>
        <v>499.01375100889527</v>
      </c>
      <c r="R15" s="195">
        <f t="shared" si="5"/>
        <v>-1332.017617810197</v>
      </c>
    </row>
    <row r="16" spans="1:22" s="1" customFormat="1" ht="10.15" x14ac:dyDescent="0.2">
      <c r="B16" s="30" t="s">
        <v>93</v>
      </c>
      <c r="D16" s="42"/>
      <c r="E16" s="53">
        <f t="shared" si="6"/>
        <v>6359.389000000001</v>
      </c>
      <c r="F16" s="53">
        <f t="shared" si="6"/>
        <v>75.482999999998356</v>
      </c>
      <c r="G16" s="53">
        <f t="shared" si="6"/>
        <v>5138.9470000000147</v>
      </c>
      <c r="H16" s="53">
        <f t="shared" si="6"/>
        <v>-4722.516000000016</v>
      </c>
      <c r="I16" s="53">
        <f t="shared" si="6"/>
        <v>6864.3590000000004</v>
      </c>
      <c r="J16" s="53">
        <f t="shared" si="6"/>
        <v>1759.9800000000014</v>
      </c>
      <c r="K16" s="53">
        <f t="shared" si="6"/>
        <v>-701.37500000000728</v>
      </c>
      <c r="L16" s="53">
        <f t="shared" si="6"/>
        <v>-3137.6999999999898</v>
      </c>
      <c r="M16" s="53">
        <f t="shared" si="6"/>
        <v>6146.9639999999927</v>
      </c>
      <c r="N16" s="53">
        <f t="shared" si="6"/>
        <v>3516.4560000000019</v>
      </c>
      <c r="O16" s="53">
        <f t="shared" si="6"/>
        <v>6454.0720000000001</v>
      </c>
      <c r="P16" s="53">
        <f t="shared" si="4"/>
        <v>3972.283000000014</v>
      </c>
      <c r="Q16" s="53">
        <f t="shared" si="5"/>
        <v>6435.1029999999919</v>
      </c>
      <c r="R16" s="53">
        <f t="shared" si="5"/>
        <v>-8216.8350000000064</v>
      </c>
    </row>
    <row r="17" spans="2:18" s="1" customFormat="1" ht="10.15" x14ac:dyDescent="0.2">
      <c r="B17" s="38"/>
      <c r="D17" s="42"/>
      <c r="E17" s="42"/>
      <c r="F17" s="42"/>
      <c r="G17" s="42"/>
      <c r="H17" s="42"/>
      <c r="I17" s="42"/>
      <c r="J17" s="42"/>
      <c r="K17" s="42"/>
      <c r="L17" s="42"/>
      <c r="M17" s="42"/>
      <c r="N17" s="42"/>
      <c r="O17" s="42"/>
      <c r="P17" s="42"/>
      <c r="Q17" s="42"/>
      <c r="R17" s="42"/>
    </row>
    <row r="19" spans="2:18" ht="10.15" x14ac:dyDescent="0.2">
      <c r="B19" s="19" t="s">
        <v>65</v>
      </c>
    </row>
    <row r="20" spans="2:18" ht="10.15" x14ac:dyDescent="0.2">
      <c r="B20" s="20" t="s">
        <v>403</v>
      </c>
      <c r="D20" s="192">
        <f>+'Historical Financials'!T12</f>
        <v>14111.486000000001</v>
      </c>
      <c r="E20" s="192">
        <f>+'Historical Financials'!U12</f>
        <v>18080.419000000002</v>
      </c>
      <c r="F20" s="192">
        <f>+'Historical Financials'!V12</f>
        <v>17946.495999999999</v>
      </c>
      <c r="G20" s="192">
        <f>+'Historical Financials'!W12</f>
        <v>22425.001000000004</v>
      </c>
      <c r="H20" s="192">
        <f>+'Historical Financials'!X12</f>
        <v>18158.424999999999</v>
      </c>
      <c r="I20" s="192">
        <f>+'Historical Financials'!Y12</f>
        <v>25172.651000000002</v>
      </c>
      <c r="J20" s="192">
        <f>+'Historical Financials'!Z12</f>
        <v>28425.645</v>
      </c>
      <c r="K20" s="192">
        <f>+'Historical Financials'!AA12</f>
        <v>30965.202999999994</v>
      </c>
      <c r="L20" s="192">
        <f>+'Historical Financials'!AB12</f>
        <v>27244.425999999999</v>
      </c>
      <c r="M20" s="192">
        <f>+'Historical Financials'!AC12</f>
        <v>37932.830999999998</v>
      </c>
      <c r="N20" s="192">
        <f>+'Historical Financials'!AD12</f>
        <v>39687.678</v>
      </c>
      <c r="O20" s="192">
        <f>+'Historical Financials'!AE12</f>
        <v>48675.618000000002</v>
      </c>
      <c r="P20" s="192">
        <f>+'Historical Financials'!AF12</f>
        <v>42456.243000000002</v>
      </c>
      <c r="Q20" s="192">
        <f>+'Historical Financials'!AG12</f>
        <v>49115.866000000002</v>
      </c>
      <c r="R20" s="192">
        <f>+'Historical Financials'!AH12</f>
        <v>49351.021999999997</v>
      </c>
    </row>
    <row r="21" spans="2:18" ht="10.15" x14ac:dyDescent="0.2">
      <c r="B21" s="30" t="s">
        <v>404</v>
      </c>
      <c r="E21" s="53">
        <f>+IFERROR(E20-D20,"n/a")</f>
        <v>3968.9330000000009</v>
      </c>
      <c r="F21" s="53">
        <f t="shared" ref="F21:O21" si="7">+IFERROR(F20-E20,"n/a")</f>
        <v>-133.9230000000025</v>
      </c>
      <c r="G21" s="53">
        <f t="shared" si="7"/>
        <v>4478.5050000000047</v>
      </c>
      <c r="H21" s="53">
        <f t="shared" si="7"/>
        <v>-4266.5760000000046</v>
      </c>
      <c r="I21" s="53">
        <f t="shared" si="7"/>
        <v>7014.2260000000024</v>
      </c>
      <c r="J21" s="53">
        <f t="shared" si="7"/>
        <v>3252.9939999999988</v>
      </c>
      <c r="K21" s="53">
        <f t="shared" si="7"/>
        <v>2539.5579999999936</v>
      </c>
      <c r="L21" s="53">
        <f t="shared" si="7"/>
        <v>-3720.7769999999946</v>
      </c>
      <c r="M21" s="53">
        <f t="shared" si="7"/>
        <v>10688.404999999999</v>
      </c>
      <c r="N21" s="53">
        <f t="shared" si="7"/>
        <v>1754.8470000000016</v>
      </c>
      <c r="O21" s="53">
        <f t="shared" si="7"/>
        <v>8987.9400000000023</v>
      </c>
      <c r="P21" s="53">
        <f t="shared" ref="P21" si="8">+IFERROR(P20-O20,"n/a")</f>
        <v>-6219.375</v>
      </c>
      <c r="Q21" s="53">
        <f t="shared" ref="Q21:R21" si="9">+IFERROR(Q20-P20,"n/a")</f>
        <v>6659.6229999999996</v>
      </c>
      <c r="R21" s="53">
        <f t="shared" si="9"/>
        <v>235.1559999999954</v>
      </c>
    </row>
    <row r="23" spans="2:18" ht="10.15" x14ac:dyDescent="0.2">
      <c r="B23" t="s">
        <v>405</v>
      </c>
      <c r="D23" s="160">
        <f>+-'Historical Financials'!T80</f>
        <v>0</v>
      </c>
      <c r="E23" s="160">
        <f>+-'Historical Financials'!U80</f>
        <v>0</v>
      </c>
      <c r="F23" s="160">
        <f>+-'Historical Financials'!V80</f>
        <v>854.76599999999996</v>
      </c>
      <c r="G23" s="160">
        <f>+-'Historical Financials'!W80</f>
        <v>1078.819</v>
      </c>
      <c r="H23" s="160">
        <f>+-'Historical Financials'!X80</f>
        <v>564.81399999999996</v>
      </c>
      <c r="I23" s="160">
        <f>+-'Historical Financials'!Y80</f>
        <v>1558.0630000000001</v>
      </c>
      <c r="J23" s="160">
        <f>+-'Historical Financials'!Z80</f>
        <v>1537.1769999999999</v>
      </c>
      <c r="K23" s="160">
        <f>+-'Historical Financials'!AA80</f>
        <v>1065.6130000000003</v>
      </c>
      <c r="L23" s="160">
        <f>+-'Historical Financials'!AB80</f>
        <v>1597.7750000000001</v>
      </c>
      <c r="M23" s="160">
        <f>+-'Historical Financials'!AC80</f>
        <v>3158.442</v>
      </c>
      <c r="N23" s="160">
        <f>+-'Historical Financials'!AD80</f>
        <v>3513.48</v>
      </c>
      <c r="O23" s="160">
        <f>+-'Historical Financials'!AE80</f>
        <v>3580.2069999999999</v>
      </c>
      <c r="P23" s="160">
        <f>+-'Historical Financials'!AF80</f>
        <v>5067.7520000000004</v>
      </c>
      <c r="Q23" s="160">
        <f>+-'Historical Financials'!AG80</f>
        <v>5914.6130000000003</v>
      </c>
      <c r="R23" s="160">
        <f>+-'Historical Financials'!AH80</f>
        <v>4201.62</v>
      </c>
    </row>
    <row r="24" spans="2:18" ht="10.15" x14ac:dyDescent="0.2">
      <c r="B24" s="20" t="s">
        <v>404</v>
      </c>
      <c r="E24" s="53">
        <f>+IFERROR(E23-D23,"n/a")</f>
        <v>0</v>
      </c>
      <c r="F24" s="53">
        <f t="shared" ref="F24" si="10">+IFERROR(F23-E23,"n/a")</f>
        <v>854.76599999999996</v>
      </c>
      <c r="G24" s="53">
        <f t="shared" ref="G24" si="11">+IFERROR(G23-F23,"n/a")</f>
        <v>224.053</v>
      </c>
      <c r="H24" s="53">
        <f t="shared" ref="H24" si="12">+IFERROR(H23-G23,"n/a")</f>
        <v>-514.005</v>
      </c>
      <c r="I24" s="53">
        <f t="shared" ref="I24" si="13">+IFERROR(I23-H23,"n/a")</f>
        <v>993.24900000000014</v>
      </c>
      <c r="J24" s="53">
        <f t="shared" ref="J24" si="14">+IFERROR(J23-I23,"n/a")</f>
        <v>-20.886000000000195</v>
      </c>
      <c r="K24" s="53">
        <f t="shared" ref="K24" si="15">+IFERROR(K23-J23,"n/a")</f>
        <v>-471.56399999999962</v>
      </c>
      <c r="L24" s="53">
        <f t="shared" ref="L24" si="16">+IFERROR(L23-K23,"n/a")</f>
        <v>532.16199999999981</v>
      </c>
      <c r="M24" s="53">
        <f t="shared" ref="M24" si="17">+IFERROR(M23-L23,"n/a")</f>
        <v>1560.6669999999999</v>
      </c>
      <c r="N24" s="53">
        <f t="shared" ref="N24" si="18">+IFERROR(N23-M23,"n/a")</f>
        <v>355.03800000000001</v>
      </c>
      <c r="O24" s="53">
        <f t="shared" ref="O24" si="19">+IFERROR(O23-N23,"n/a")</f>
        <v>66.726999999999862</v>
      </c>
      <c r="P24" s="53">
        <f t="shared" ref="P24" si="20">+IFERROR(P23-O23,"n/a")</f>
        <v>1487.5450000000005</v>
      </c>
      <c r="Q24" s="53">
        <f t="shared" ref="Q24:R24" si="21">+IFERROR(Q23-P23,"n/a")</f>
        <v>846.86099999999988</v>
      </c>
      <c r="R24" s="53">
        <f t="shared" si="21"/>
        <v>-1712.9930000000004</v>
      </c>
    </row>
  </sheetData>
  <phoneticPr fontId="4"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8610D-2FE4-4D34-9F3A-C3E0E0589A8B}">
  <dimension ref="A1"/>
  <sheetViews>
    <sheetView workbookViewId="0"/>
  </sheetViews>
  <sheetFormatPr defaultRowHeight="11.2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9DA9E-DC09-497D-AABB-300D6ED62567}">
  <dimension ref="B2:B4"/>
  <sheetViews>
    <sheetView workbookViewId="0">
      <selection activeCell="B6" sqref="B6"/>
    </sheetView>
  </sheetViews>
  <sheetFormatPr defaultRowHeight="11.25" x14ac:dyDescent="0.2"/>
  <cols>
    <col min="1" max="1" width="2.6640625" customWidth="1"/>
    <col min="2" max="2" width="20.6640625" customWidth="1"/>
    <col min="3" max="3" width="2.6640625" customWidth="1"/>
  </cols>
  <sheetData>
    <row r="2" spans="2:2" s="1" customFormat="1" x14ac:dyDescent="0.2">
      <c r="B2" s="1" t="s">
        <v>0</v>
      </c>
    </row>
    <row r="3" spans="2:2" s="2" customFormat="1" x14ac:dyDescent="0.2">
      <c r="B3" s="2" t="s">
        <v>407</v>
      </c>
    </row>
    <row r="4" spans="2:2" x14ac:dyDescent="0.2">
      <c r="B4" s="3" t="s">
        <v>108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316F-FFBA-4CF1-A5BB-B3B1D5B3EED6}">
  <sheetPr>
    <pageSetUpPr fitToPage="1"/>
  </sheetPr>
  <dimension ref="B2:H19"/>
  <sheetViews>
    <sheetView showGridLines="0" view="pageBreakPreview" topLeftCell="A14" zoomScaleNormal="115" zoomScaleSheetLayoutView="100" workbookViewId="0">
      <selection activeCell="F12" sqref="F12"/>
    </sheetView>
  </sheetViews>
  <sheetFormatPr defaultRowHeight="11.25" x14ac:dyDescent="0.2"/>
  <cols>
    <col min="1" max="1" width="2.6640625" customWidth="1"/>
    <col min="3" max="3" width="10.1640625" bestFit="1" customWidth="1"/>
    <col min="4" max="5" width="12.6640625" customWidth="1"/>
    <col min="6" max="6" width="200.6640625" customWidth="1"/>
    <col min="7" max="8" width="20.5" bestFit="1" customWidth="1"/>
  </cols>
  <sheetData>
    <row r="2" spans="2:8" s="1" customFormat="1" ht="10.15" x14ac:dyDescent="0.2">
      <c r="B2" s="1" t="s">
        <v>0</v>
      </c>
      <c r="F2" s="59">
        <f ca="1">+TODAY()</f>
        <v>45796</v>
      </c>
    </row>
    <row r="3" spans="2:8" s="2" customFormat="1" ht="10.15" x14ac:dyDescent="0.2">
      <c r="B3" s="2" t="s">
        <v>427</v>
      </c>
    </row>
    <row r="4" spans="2:8" s="1" customFormat="1" ht="10.15" x14ac:dyDescent="0.2">
      <c r="B4" s="3" t="s">
        <v>108</v>
      </c>
    </row>
    <row r="5" spans="2:8" s="1" customFormat="1" ht="10.15" x14ac:dyDescent="0.2"/>
    <row r="6" spans="2:8" s="190" customFormat="1" ht="30.6" x14ac:dyDescent="0.2">
      <c r="B6" s="2" t="s">
        <v>423</v>
      </c>
      <c r="C6" s="199" t="s">
        <v>424</v>
      </c>
      <c r="D6" s="200" t="s">
        <v>93</v>
      </c>
      <c r="E6" s="200" t="s">
        <v>425</v>
      </c>
      <c r="F6" s="2" t="s">
        <v>426</v>
      </c>
    </row>
    <row r="7" spans="2:8" ht="71.45" x14ac:dyDescent="0.2">
      <c r="B7" s="201" t="s">
        <v>39</v>
      </c>
      <c r="C7" s="202">
        <v>44432</v>
      </c>
      <c r="D7" s="203" cm="1">
        <f t="array" ref="D7:D9">+TRANSPOSE('Historical Financials'!U61:W61)</f>
        <v>3185.2420000000002</v>
      </c>
      <c r="E7" s="204" cm="1">
        <f t="array" ref="E7:E9">+TRANSPOSE('Historical Financials'!U63:W63)</f>
        <v>0.13821103851304031</v>
      </c>
      <c r="F7" s="219" t="s">
        <v>433</v>
      </c>
      <c r="G7" s="252">
        <f>+E8-E7</f>
        <v>1.3409983168687828E-2</v>
      </c>
    </row>
    <row r="8" spans="2:8" ht="90" x14ac:dyDescent="0.2">
      <c r="B8" s="201" t="s">
        <v>40</v>
      </c>
      <c r="C8" s="202">
        <v>44526</v>
      </c>
      <c r="D8" s="203">
        <v>3260.7249999999985</v>
      </c>
      <c r="E8" s="204">
        <v>0.15162102168172814</v>
      </c>
      <c r="F8" s="219" t="s">
        <v>434</v>
      </c>
      <c r="G8" s="33">
        <f>+D8/D7-1</f>
        <v>2.3697728461447687E-2</v>
      </c>
    </row>
    <row r="9" spans="2:8" ht="112.5" x14ac:dyDescent="0.2">
      <c r="B9" s="201" t="s">
        <v>41</v>
      </c>
      <c r="C9" s="202">
        <v>44641</v>
      </c>
      <c r="D9" s="203">
        <v>8399.6720000000132</v>
      </c>
      <c r="E9" s="204">
        <v>0.30846148021314973</v>
      </c>
      <c r="F9" s="219" t="s">
        <v>435</v>
      </c>
    </row>
    <row r="10" spans="2:8" ht="78.75" x14ac:dyDescent="0.2">
      <c r="B10" s="201" t="s">
        <v>42</v>
      </c>
      <c r="C10" s="202">
        <v>44708</v>
      </c>
      <c r="D10" s="203">
        <f t="array" ref="D10:D19">TRANSPOSE('Historical Financials'!X61:AG61)</f>
        <v>3677.1559999999972</v>
      </c>
      <c r="E10" s="204">
        <f t="array" ref="E10:E19">+TRANSPOSE('Historical Financials'!X63:AG63)</f>
        <v>0.15454333289806374</v>
      </c>
      <c r="F10" s="219" t="s">
        <v>438</v>
      </c>
    </row>
    <row r="11" spans="2:8" ht="122.45" x14ac:dyDescent="0.2">
      <c r="B11" s="201" t="s">
        <v>43</v>
      </c>
      <c r="C11" s="202">
        <v>44802</v>
      </c>
      <c r="D11" s="203">
        <v>10541.514999999998</v>
      </c>
      <c r="E11" s="204">
        <v>0.33529452440313423</v>
      </c>
      <c r="F11" s="219" t="s">
        <v>432</v>
      </c>
      <c r="G11" s="33">
        <f>+D11/D7-1</f>
        <v>2.3094863749755894</v>
      </c>
    </row>
    <row r="12" spans="2:8" ht="90" x14ac:dyDescent="0.2">
      <c r="B12" s="201" t="s">
        <v>44</v>
      </c>
      <c r="C12" s="202">
        <v>44893</v>
      </c>
      <c r="D12" s="203">
        <v>12301.494999999999</v>
      </c>
      <c r="E12" s="204">
        <v>0.34647897899927854</v>
      </c>
      <c r="F12" s="219" t="s">
        <v>430</v>
      </c>
      <c r="G12" s="226">
        <f>+E13-E12</f>
        <v>-5.5165271233930058E-2</v>
      </c>
      <c r="H12" s="226">
        <f>+E12-E11</f>
        <v>1.1184454596144311E-2</v>
      </c>
    </row>
    <row r="13" spans="2:8" ht="67.5" x14ac:dyDescent="0.2">
      <c r="B13" s="201" t="s">
        <v>45</v>
      </c>
      <c r="C13" s="202">
        <v>45005</v>
      </c>
      <c r="D13" s="203">
        <v>11600.119999999992</v>
      </c>
      <c r="E13" s="204">
        <v>0.29131370776534848</v>
      </c>
      <c r="F13" s="219" t="s">
        <v>428</v>
      </c>
      <c r="G13" s="33">
        <f>+D16/D12-1</f>
        <v>0.47346643639655173</v>
      </c>
    </row>
    <row r="14" spans="2:8" ht="78.75" x14ac:dyDescent="0.2">
      <c r="B14" s="201" t="s">
        <v>46</v>
      </c>
      <c r="C14" s="202">
        <v>45072</v>
      </c>
      <c r="D14" s="203">
        <v>8462.4200000000019</v>
      </c>
      <c r="E14" s="204">
        <v>0.22484280781835986</v>
      </c>
      <c r="F14" s="219" t="s">
        <v>437</v>
      </c>
    </row>
    <row r="15" spans="2:8" ht="90" x14ac:dyDescent="0.2">
      <c r="B15" s="201" t="s">
        <v>47</v>
      </c>
      <c r="C15" s="202">
        <v>45167</v>
      </c>
      <c r="D15" s="203">
        <v>14609.383999999995</v>
      </c>
      <c r="E15" s="204">
        <v>0.27944099040051978</v>
      </c>
      <c r="F15" s="219" t="s">
        <v>429</v>
      </c>
    </row>
    <row r="16" spans="2:8" ht="90" x14ac:dyDescent="0.2">
      <c r="B16" s="201" t="s">
        <v>48</v>
      </c>
      <c r="C16" s="202">
        <v>45258</v>
      </c>
      <c r="D16" s="203">
        <v>18125.839999999997</v>
      </c>
      <c r="E16" s="204">
        <v>0.26330247406714291</v>
      </c>
      <c r="F16" s="219" t="s">
        <v>436</v>
      </c>
    </row>
    <row r="17" spans="2:6" ht="101.25" x14ac:dyDescent="0.2">
      <c r="B17" s="201" t="s">
        <v>240</v>
      </c>
      <c r="C17" s="202">
        <v>45371</v>
      </c>
      <c r="D17" s="203">
        <v>24579.911999999997</v>
      </c>
      <c r="E17" s="204">
        <v>0.27654844167207948</v>
      </c>
      <c r="F17" s="219" t="s">
        <v>431</v>
      </c>
    </row>
    <row r="18" spans="2:6" ht="91.9" x14ac:dyDescent="0.2">
      <c r="B18" s="201" t="s">
        <v>241</v>
      </c>
      <c r="C18" s="202">
        <v>45434</v>
      </c>
      <c r="D18" s="203">
        <v>28552.195000000011</v>
      </c>
      <c r="E18" s="204">
        <v>0.32889664556856102</v>
      </c>
      <c r="F18" s="219" t="s">
        <v>468</v>
      </c>
    </row>
    <row r="19" spans="2:6" ht="173.45" x14ac:dyDescent="0.2">
      <c r="B19" s="201" t="s">
        <v>242</v>
      </c>
      <c r="C19" s="202">
        <v>45530</v>
      </c>
      <c r="D19" s="203">
        <v>34987.298000000003</v>
      </c>
      <c r="E19" s="204">
        <v>0.36047256399786232</v>
      </c>
      <c r="F19" s="219" t="s">
        <v>462</v>
      </c>
    </row>
  </sheetData>
  <phoneticPr fontId="4" type="noConversion"/>
  <pageMargins left="0.3" right="0.3" top="0.3" bottom="0.3" header="0.3" footer="0.3"/>
  <pageSetup scale="68" fitToHeight="2" orientation="landscape" r:id="rId1"/>
  <headerFooter>
    <oddFooter>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E9CAC-F497-4813-B338-6F27FB07A596}">
  <sheetPr>
    <pageSetUpPr fitToPage="1"/>
  </sheetPr>
  <dimension ref="B2:W32"/>
  <sheetViews>
    <sheetView view="pageBreakPreview" zoomScale="85" zoomScaleNormal="70" zoomScaleSheetLayoutView="85" workbookViewId="0">
      <selection activeCell="AA31" sqref="AA31"/>
    </sheetView>
  </sheetViews>
  <sheetFormatPr defaultRowHeight="11.25" outlineLevelCol="1" x14ac:dyDescent="0.2"/>
  <cols>
    <col min="1" max="1" width="2.83203125" customWidth="1"/>
    <col min="2" max="2" width="31" customWidth="1"/>
    <col min="3" max="6" width="9.33203125" hidden="1" customWidth="1" outlineLevel="1"/>
    <col min="7" max="7" width="9.1640625" collapsed="1"/>
  </cols>
  <sheetData>
    <row r="2" spans="2:23" s="1" customFormat="1" ht="10.15" x14ac:dyDescent="0.2">
      <c r="B2" s="1" t="s">
        <v>0</v>
      </c>
      <c r="W2" s="59">
        <f ca="1">+TODAY()</f>
        <v>45796</v>
      </c>
    </row>
    <row r="3" spans="2:23" s="2" customFormat="1" ht="10.15" x14ac:dyDescent="0.2">
      <c r="B3" s="2" t="s">
        <v>567</v>
      </c>
    </row>
    <row r="5" spans="2:23" ht="10.15" x14ac:dyDescent="0.2">
      <c r="G5" s="8" t="s">
        <v>59</v>
      </c>
      <c r="H5" s="8"/>
      <c r="I5" s="8"/>
      <c r="J5" s="8"/>
      <c r="K5" s="8"/>
      <c r="L5" s="9"/>
      <c r="M5" s="9"/>
      <c r="N5" s="9"/>
      <c r="O5" s="9"/>
      <c r="P5" s="9"/>
      <c r="Q5" s="9"/>
      <c r="R5" s="9"/>
      <c r="S5" s="9"/>
      <c r="T5" s="9"/>
      <c r="U5" s="9"/>
      <c r="V5" s="9"/>
    </row>
    <row r="6" spans="2:23" ht="13.5" x14ac:dyDescent="0.35">
      <c r="C6" s="7" t="s">
        <v>34</v>
      </c>
      <c r="D6" s="7" t="s">
        <v>35</v>
      </c>
      <c r="E6" s="7" t="s">
        <v>36</v>
      </c>
      <c r="F6" s="7" t="s">
        <v>37</v>
      </c>
      <c r="G6" s="7" t="s">
        <v>38</v>
      </c>
      <c r="H6" s="7" t="s">
        <v>39</v>
      </c>
      <c r="I6" s="7" t="s">
        <v>40</v>
      </c>
      <c r="J6" s="7" t="s">
        <v>41</v>
      </c>
      <c r="K6" s="7" t="s">
        <v>42</v>
      </c>
      <c r="L6" s="7" t="s">
        <v>43</v>
      </c>
      <c r="M6" s="7" t="s">
        <v>44</v>
      </c>
      <c r="N6" s="7" t="s">
        <v>45</v>
      </c>
      <c r="O6" s="7" t="s">
        <v>46</v>
      </c>
      <c r="P6" s="7" t="s">
        <v>47</v>
      </c>
      <c r="Q6" s="7" t="s">
        <v>48</v>
      </c>
      <c r="R6" s="7" t="s">
        <v>240</v>
      </c>
      <c r="S6" s="7" t="s">
        <v>241</v>
      </c>
      <c r="T6" s="7" t="s">
        <v>242</v>
      </c>
      <c r="U6" s="7" t="s">
        <v>243</v>
      </c>
      <c r="V6" s="7" t="s">
        <v>49</v>
      </c>
    </row>
    <row r="8" spans="2:23" ht="10.15" x14ac:dyDescent="0.2">
      <c r="B8" s="263" t="s">
        <v>472</v>
      </c>
      <c r="C8" s="1"/>
      <c r="D8" s="1"/>
      <c r="E8" s="1"/>
      <c r="F8" s="1"/>
    </row>
    <row r="10" spans="2:23" ht="10.15" x14ac:dyDescent="0.2">
      <c r="B10" t="s">
        <v>573</v>
      </c>
      <c r="C10" s="261" t="s">
        <v>64</v>
      </c>
      <c r="D10" s="261" t="s">
        <v>64</v>
      </c>
      <c r="E10" s="221">
        <f t="shared" ref="E10:F10" si="0">+AVERAGE(E11:E12)</f>
        <v>0.22500000000000001</v>
      </c>
      <c r="F10" s="221">
        <f t="shared" si="0"/>
        <v>0.46499999999999997</v>
      </c>
      <c r="G10" s="221">
        <f t="shared" ref="G10:T10" si="1">+AVERAGE(G11:G12)</f>
        <v>0.59499999999999997</v>
      </c>
      <c r="H10" s="221">
        <f t="shared" si="1"/>
        <v>0.48499999999999999</v>
      </c>
      <c r="I10" s="221">
        <f t="shared" si="1"/>
        <v>0.375</v>
      </c>
      <c r="J10" s="221">
        <f t="shared" si="1"/>
        <v>0.29500000000000004</v>
      </c>
      <c r="K10" s="221">
        <f t="shared" si="1"/>
        <v>-0.10500000000000001</v>
      </c>
      <c r="L10" s="221">
        <f t="shared" si="1"/>
        <v>3.4999999999999996E-2</v>
      </c>
      <c r="M10" s="221">
        <f t="shared" si="1"/>
        <v>0.14500000000000002</v>
      </c>
      <c r="N10" s="221">
        <f t="shared" si="1"/>
        <v>-0.02</v>
      </c>
      <c r="O10" s="221">
        <f t="shared" si="1"/>
        <v>0.26500000000000001</v>
      </c>
      <c r="P10" s="221">
        <f t="shared" si="1"/>
        <v>0.30500000000000005</v>
      </c>
      <c r="Q10" s="221">
        <f t="shared" si="1"/>
        <v>0.35499999999999998</v>
      </c>
      <c r="R10" s="221">
        <f t="shared" si="1"/>
        <v>0.36499999999999999</v>
      </c>
      <c r="S10" s="221">
        <f t="shared" si="1"/>
        <v>0.255</v>
      </c>
      <c r="T10" s="221">
        <f t="shared" si="1"/>
        <v>0.26500000000000001</v>
      </c>
      <c r="U10" s="221">
        <f t="shared" ref="U10:V10" si="2">+AVERAGE(U11:U12)</f>
        <v>0.14500000000000002</v>
      </c>
      <c r="V10" s="221">
        <f t="shared" si="2"/>
        <v>0.17499999999999999</v>
      </c>
    </row>
    <row r="11" spans="2:23" x14ac:dyDescent="0.2">
      <c r="B11" s="20" t="s">
        <v>469</v>
      </c>
      <c r="C11" s="261" t="s">
        <v>64</v>
      </c>
      <c r="D11" s="261" t="s">
        <v>64</v>
      </c>
      <c r="E11" s="222">
        <v>0.2</v>
      </c>
      <c r="F11" s="222">
        <v>0.44</v>
      </c>
      <c r="G11" s="222">
        <v>0.56999999999999995</v>
      </c>
      <c r="H11" s="222">
        <v>0.46</v>
      </c>
      <c r="I11" s="222">
        <v>0.35</v>
      </c>
      <c r="J11" s="222">
        <v>0.27</v>
      </c>
      <c r="K11" s="222">
        <v>-0.13</v>
      </c>
      <c r="L11" s="222">
        <v>0.01</v>
      </c>
      <c r="M11" s="222">
        <v>0.12</v>
      </c>
      <c r="N11" s="222">
        <v>-0.04</v>
      </c>
      <c r="O11" s="222">
        <v>0.24</v>
      </c>
      <c r="P11" s="222">
        <v>0.28000000000000003</v>
      </c>
      <c r="Q11" s="222">
        <v>0.33</v>
      </c>
      <c r="R11" s="222">
        <v>0.34</v>
      </c>
      <c r="S11" s="222">
        <v>0.23</v>
      </c>
      <c r="T11" s="222">
        <v>0.24</v>
      </c>
      <c r="U11" s="222">
        <v>0.12</v>
      </c>
      <c r="V11" s="222">
        <v>0.15</v>
      </c>
    </row>
    <row r="12" spans="2:23" x14ac:dyDescent="0.2">
      <c r="B12" s="20" t="s">
        <v>470</v>
      </c>
      <c r="C12" s="261" t="s">
        <v>64</v>
      </c>
      <c r="D12" s="261" t="s">
        <v>64</v>
      </c>
      <c r="E12" s="222">
        <v>0.25</v>
      </c>
      <c r="F12" s="222">
        <v>0.49</v>
      </c>
      <c r="G12" s="222">
        <v>0.62</v>
      </c>
      <c r="H12" s="222">
        <v>0.51</v>
      </c>
      <c r="I12" s="222">
        <v>0.4</v>
      </c>
      <c r="J12" s="222">
        <v>0.32</v>
      </c>
      <c r="K12" s="222">
        <v>-0.08</v>
      </c>
      <c r="L12" s="222">
        <v>0.06</v>
      </c>
      <c r="M12" s="222">
        <v>0.17</v>
      </c>
      <c r="N12" s="222">
        <v>0</v>
      </c>
      <c r="O12" s="222">
        <v>0.28999999999999998</v>
      </c>
      <c r="P12" s="222">
        <v>0.33</v>
      </c>
      <c r="Q12" s="222">
        <v>0.38</v>
      </c>
      <c r="R12" s="222">
        <v>0.39</v>
      </c>
      <c r="S12" s="222">
        <v>0.28000000000000003</v>
      </c>
      <c r="T12" s="222">
        <v>0.28999999999999998</v>
      </c>
      <c r="U12" s="222">
        <v>0.17</v>
      </c>
      <c r="V12" s="222">
        <v>0.2</v>
      </c>
    </row>
    <row r="13" spans="2:23" x14ac:dyDescent="0.2">
      <c r="B13" s="20"/>
      <c r="C13" s="20"/>
      <c r="D13" s="20"/>
      <c r="E13" s="20"/>
      <c r="F13" s="20"/>
      <c r="Q13" s="222"/>
      <c r="R13" s="222"/>
      <c r="S13" s="222"/>
      <c r="T13" s="222"/>
      <c r="U13" s="222"/>
      <c r="V13" s="222"/>
    </row>
    <row r="14" spans="2:23" ht="10.15" x14ac:dyDescent="0.2">
      <c r="B14" t="s">
        <v>572</v>
      </c>
      <c r="C14" s="223">
        <f t="shared" ref="C14:D14" si="3">+AVERAGE(C15:C16)</f>
        <v>9.5000000000000001E-2</v>
      </c>
      <c r="D14" s="223">
        <f t="shared" si="3"/>
        <v>9.5000000000000001E-2</v>
      </c>
      <c r="E14" s="223">
        <f t="shared" ref="E14:F14" si="4">+AVERAGE(E15:E16)</f>
        <v>9.5000000000000001E-2</v>
      </c>
      <c r="F14" s="223">
        <f t="shared" si="4"/>
        <v>0.10500000000000001</v>
      </c>
      <c r="G14" s="223">
        <f t="shared" ref="G14:T14" si="5">+AVERAGE(G15:G16)</f>
        <v>8.4999999999999992E-2</v>
      </c>
      <c r="H14" s="223">
        <f t="shared" si="5"/>
        <v>6.5000000000000002E-2</v>
      </c>
      <c r="I14" s="223">
        <f t="shared" si="5"/>
        <v>7.5000000000000011E-2</v>
      </c>
      <c r="J14" s="223">
        <f t="shared" si="5"/>
        <v>6.5000000000000002E-2</v>
      </c>
      <c r="K14" s="223">
        <f t="shared" si="5"/>
        <v>6.5000000000000002E-2</v>
      </c>
      <c r="L14" s="223">
        <f t="shared" si="5"/>
        <v>6.5000000000000002E-2</v>
      </c>
      <c r="M14" s="223">
        <f t="shared" si="5"/>
        <v>7.5000000000000011E-2</v>
      </c>
      <c r="N14" s="223">
        <f t="shared" si="5"/>
        <v>7.5000000000000011E-2</v>
      </c>
      <c r="O14" s="223">
        <f t="shared" si="5"/>
        <v>8.4999999999999992E-2</v>
      </c>
      <c r="P14" s="223">
        <f t="shared" si="5"/>
        <v>0.115</v>
      </c>
      <c r="Q14" s="223">
        <f t="shared" si="5"/>
        <v>0.10500000000000001</v>
      </c>
      <c r="R14" s="223">
        <f t="shared" si="5"/>
        <v>0.13500000000000001</v>
      </c>
      <c r="S14" s="223">
        <f t="shared" si="5"/>
        <v>0.13500000000000001</v>
      </c>
      <c r="T14" s="223">
        <f t="shared" si="5"/>
        <v>0.115</v>
      </c>
      <c r="U14" s="223">
        <f t="shared" ref="U14:V14" si="6">+AVERAGE(U15:U16)</f>
        <v>0.115</v>
      </c>
      <c r="V14" s="223">
        <f t="shared" si="6"/>
        <v>0.125</v>
      </c>
    </row>
    <row r="15" spans="2:23" x14ac:dyDescent="0.2">
      <c r="B15" s="20" t="s">
        <v>469</v>
      </c>
      <c r="C15" s="262">
        <v>7.0000000000000007E-2</v>
      </c>
      <c r="D15" s="262">
        <v>7.0000000000000007E-2</v>
      </c>
      <c r="E15" s="262">
        <v>7.0000000000000007E-2</v>
      </c>
      <c r="F15" s="262">
        <v>0.08</v>
      </c>
      <c r="G15" s="262">
        <v>0.06</v>
      </c>
      <c r="H15" s="262">
        <v>0.04</v>
      </c>
      <c r="I15" s="262">
        <v>0.05</v>
      </c>
      <c r="J15" s="262">
        <v>0.04</v>
      </c>
      <c r="K15" s="262">
        <v>0.04</v>
      </c>
      <c r="L15" s="262">
        <v>0.04</v>
      </c>
      <c r="M15" s="262">
        <v>0.05</v>
      </c>
      <c r="N15" s="262">
        <v>0.05</v>
      </c>
      <c r="O15" s="262">
        <v>0.06</v>
      </c>
      <c r="P15" s="262">
        <v>0.09</v>
      </c>
      <c r="Q15" s="262">
        <v>0.08</v>
      </c>
      <c r="R15" s="262">
        <v>0.11</v>
      </c>
      <c r="S15" s="262">
        <v>0.11</v>
      </c>
      <c r="T15" s="262">
        <v>0.09</v>
      </c>
      <c r="U15" s="262">
        <v>0.09</v>
      </c>
      <c r="V15" s="262">
        <v>0.1</v>
      </c>
    </row>
    <row r="16" spans="2:23" x14ac:dyDescent="0.2">
      <c r="B16" s="20" t="s">
        <v>470</v>
      </c>
      <c r="C16" s="262">
        <v>0.12</v>
      </c>
      <c r="D16" s="262">
        <v>0.12</v>
      </c>
      <c r="E16" s="262">
        <v>0.12</v>
      </c>
      <c r="F16" s="262">
        <v>0.13</v>
      </c>
      <c r="G16" s="262">
        <v>0.11</v>
      </c>
      <c r="H16" s="262">
        <v>0.09</v>
      </c>
      <c r="I16" s="262">
        <v>0.1</v>
      </c>
      <c r="J16" s="262">
        <v>0.09</v>
      </c>
      <c r="K16" s="262">
        <v>0.09</v>
      </c>
      <c r="L16" s="262">
        <v>0.09</v>
      </c>
      <c r="M16" s="262">
        <v>0.1</v>
      </c>
      <c r="N16" s="262">
        <v>0.1</v>
      </c>
      <c r="O16" s="262">
        <v>0.11</v>
      </c>
      <c r="P16" s="262">
        <v>0.14000000000000001</v>
      </c>
      <c r="Q16" s="262">
        <v>0.13</v>
      </c>
      <c r="R16" s="262">
        <v>0.16</v>
      </c>
      <c r="S16" s="262">
        <v>0.16</v>
      </c>
      <c r="T16" s="262">
        <v>0.14000000000000001</v>
      </c>
      <c r="U16" s="262">
        <v>0.14000000000000001</v>
      </c>
      <c r="V16" s="262">
        <v>0.15</v>
      </c>
    </row>
    <row r="17" spans="2:22" x14ac:dyDescent="0.2">
      <c r="B17" s="20"/>
      <c r="C17" s="20"/>
      <c r="D17" s="20"/>
      <c r="E17" s="20"/>
      <c r="F17" s="20"/>
      <c r="G17" s="262"/>
      <c r="H17" s="262"/>
      <c r="I17" s="262"/>
      <c r="J17" s="262"/>
      <c r="K17" s="262"/>
      <c r="L17" s="262"/>
      <c r="M17" s="262"/>
      <c r="N17" s="262"/>
      <c r="O17" s="262"/>
      <c r="P17" s="262"/>
      <c r="Q17" s="262"/>
      <c r="R17" s="262"/>
      <c r="S17" s="262"/>
      <c r="T17" s="262"/>
      <c r="U17" s="262"/>
      <c r="V17" s="262"/>
    </row>
    <row r="18" spans="2:22" ht="10.15" x14ac:dyDescent="0.2">
      <c r="B18" t="s">
        <v>570</v>
      </c>
      <c r="C18" s="261" t="s">
        <v>64</v>
      </c>
      <c r="D18" s="261" t="s">
        <v>64</v>
      </c>
      <c r="E18" s="261" t="s">
        <v>64</v>
      </c>
      <c r="F18" s="261" t="s">
        <v>64</v>
      </c>
      <c r="G18" s="221">
        <f t="shared" ref="G18:J18" si="7">(1+G10)*(G14/C14)-1</f>
        <v>0.42710526315789465</v>
      </c>
      <c r="H18" s="221">
        <f t="shared" si="7"/>
        <v>1.6052631578947318E-2</v>
      </c>
      <c r="I18" s="221">
        <f t="shared" si="7"/>
        <v>8.5526315789473895E-2</v>
      </c>
      <c r="J18" s="221">
        <f t="shared" si="7"/>
        <v>-0.19833333333333347</v>
      </c>
      <c r="K18" s="221">
        <f>(1+K10)*(K14/G14)-1</f>
        <v>-0.31558823529411761</v>
      </c>
      <c r="L18" s="221">
        <f t="shared" ref="L18:V18" si="8">(1+L10)*(L14/H14)-1</f>
        <v>3.499999999999992E-2</v>
      </c>
      <c r="M18" s="221">
        <f t="shared" si="8"/>
        <v>0.14500000000000002</v>
      </c>
      <c r="N18" s="221">
        <f t="shared" si="8"/>
        <v>0.13076923076923097</v>
      </c>
      <c r="O18" s="221">
        <f t="shared" si="8"/>
        <v>0.65423076923076917</v>
      </c>
      <c r="P18" s="221">
        <f t="shared" si="8"/>
        <v>1.308846153846154</v>
      </c>
      <c r="Q18" s="221">
        <f t="shared" si="8"/>
        <v>0.8969999999999998</v>
      </c>
      <c r="R18" s="221">
        <f t="shared" si="8"/>
        <v>1.4569999999999999</v>
      </c>
      <c r="S18" s="221">
        <f t="shared" si="8"/>
        <v>0.99323529411764744</v>
      </c>
      <c r="T18" s="221">
        <f t="shared" si="8"/>
        <v>0.26500000000000012</v>
      </c>
      <c r="U18" s="221">
        <f t="shared" si="8"/>
        <v>0.25404761904761886</v>
      </c>
      <c r="V18" s="221">
        <f t="shared" si="8"/>
        <v>8.7962962962962798E-2</v>
      </c>
    </row>
    <row r="19" spans="2:22" ht="10.15" x14ac:dyDescent="0.2">
      <c r="G19" s="261"/>
      <c r="H19" s="261"/>
      <c r="I19" s="261"/>
      <c r="J19" s="261"/>
      <c r="K19" s="221"/>
      <c r="L19" s="221"/>
      <c r="M19" s="221"/>
      <c r="N19" s="221"/>
      <c r="O19" s="221"/>
      <c r="P19" s="221"/>
      <c r="Q19" s="221"/>
      <c r="R19" s="221"/>
      <c r="S19" s="221"/>
      <c r="T19" s="221"/>
      <c r="U19" s="221"/>
      <c r="V19" s="221"/>
    </row>
    <row r="20" spans="2:22" ht="10.15" x14ac:dyDescent="0.2">
      <c r="B20" s="24" t="s">
        <v>96</v>
      </c>
      <c r="C20" s="24"/>
      <c r="D20" s="24"/>
      <c r="E20" s="24"/>
      <c r="F20" s="24"/>
      <c r="G20" s="261"/>
      <c r="H20" s="261"/>
      <c r="I20" s="261"/>
      <c r="J20" s="261"/>
      <c r="K20" s="221"/>
      <c r="L20" s="221"/>
      <c r="M20" s="221"/>
      <c r="N20" s="221"/>
      <c r="O20" s="221"/>
      <c r="P20" s="221"/>
      <c r="Q20" s="221"/>
      <c r="R20" s="221"/>
      <c r="S20" s="221"/>
      <c r="T20" s="221"/>
      <c r="U20" s="221"/>
      <c r="V20" s="221"/>
    </row>
    <row r="21" spans="2:22" x14ac:dyDescent="0.2">
      <c r="B21" t="s">
        <v>568</v>
      </c>
      <c r="F21" s="11">
        <v>52</v>
      </c>
      <c r="G21" s="11">
        <v>-28</v>
      </c>
      <c r="H21" s="11">
        <v>-5</v>
      </c>
      <c r="I21" s="11">
        <v>-5</v>
      </c>
      <c r="J21" s="11">
        <v>-14</v>
      </c>
      <c r="K21" s="11">
        <v>-21</v>
      </c>
      <c r="L21" s="11">
        <v>-9</v>
      </c>
      <c r="M21" s="11">
        <v>28</v>
      </c>
      <c r="N21" s="11">
        <v>15</v>
      </c>
      <c r="O21" s="11">
        <v>41</v>
      </c>
      <c r="P21" s="11">
        <v>61</v>
      </c>
      <c r="Q21" s="11">
        <v>33</v>
      </c>
      <c r="R21" s="11">
        <v>47</v>
      </c>
      <c r="S21" s="11">
        <v>44</v>
      </c>
      <c r="T21" s="11">
        <v>50</v>
      </c>
      <c r="U21" s="11">
        <v>20</v>
      </c>
      <c r="V21" s="11">
        <v>13</v>
      </c>
    </row>
    <row r="22" spans="2:22" x14ac:dyDescent="0.2">
      <c r="B22" t="s">
        <v>569</v>
      </c>
      <c r="G22" s="11">
        <f>(6/(17)-7/17)*100</f>
        <v>-5.8823529411764666</v>
      </c>
      <c r="H22" s="11">
        <f>(5/(18)-8/18)*100</f>
        <v>-16.666666666666664</v>
      </c>
      <c r="I22" s="11">
        <f>(4/(21)-9/21)*100</f>
        <v>-23.809523809523807</v>
      </c>
      <c r="J22" s="11">
        <f>(4/(21)-2/21)*100</f>
        <v>9.5238095238095237</v>
      </c>
      <c r="K22" s="11">
        <f>(6/(20)-7/20)*100</f>
        <v>-4.9999999999999991</v>
      </c>
      <c r="L22" s="11">
        <f>(2/(19)-7/19)*100</f>
        <v>-26.315789473684209</v>
      </c>
      <c r="M22" s="11">
        <f>(8/(20)-4/20)*100</f>
        <v>20</v>
      </c>
      <c r="N22" s="11">
        <f>(7/(22)-4/22)*100</f>
        <v>13.636363636363635</v>
      </c>
      <c r="O22" s="11">
        <f>(9/(18)-1/18)*100</f>
        <v>44.444444444444443</v>
      </c>
      <c r="P22" s="11">
        <f>(7/(18)-0/18)*100</f>
        <v>38.888888888888893</v>
      </c>
      <c r="Q22" s="11">
        <v>50</v>
      </c>
      <c r="R22" s="11">
        <f>(4/(17)-1/17)*100</f>
        <v>17.647058823529409</v>
      </c>
      <c r="S22" s="11">
        <f>(5/(16)-2/16)*100</f>
        <v>18.75</v>
      </c>
      <c r="T22" s="11">
        <f>(6/(14)-1/14)*100</f>
        <v>35.714285714285708</v>
      </c>
      <c r="U22" s="11">
        <f>(8/(15)-1/15)*100</f>
        <v>46.666666666666664</v>
      </c>
      <c r="V22" s="264" t="e">
        <v>#N/A</v>
      </c>
    </row>
    <row r="23" spans="2:22" ht="10.15" x14ac:dyDescent="0.2">
      <c r="B23" s="20"/>
      <c r="C23" s="20"/>
      <c r="D23" s="20"/>
      <c r="E23" s="20"/>
      <c r="F23" s="20"/>
    </row>
    <row r="24" spans="2:22" ht="10.15" x14ac:dyDescent="0.2">
      <c r="B24" s="263" t="s">
        <v>588</v>
      </c>
      <c r="C24" s="1"/>
      <c r="D24" s="1"/>
      <c r="E24" s="1"/>
      <c r="F24" s="1"/>
    </row>
    <row r="26" spans="2:22" x14ac:dyDescent="0.2">
      <c r="B26" t="s">
        <v>586</v>
      </c>
      <c r="G26" s="259">
        <f>+'Historical Financials'!T253</f>
        <v>1.1000000000000001</v>
      </c>
      <c r="H26" s="259">
        <f>+'Historical Financials'!U253</f>
        <v>0.38938048231495559</v>
      </c>
      <c r="I26" s="259">
        <f>+'Historical Financials'!V253</f>
        <v>0.35738057803149448</v>
      </c>
      <c r="J26" s="259">
        <f>+'Historical Financials'!W253</f>
        <v>0.20750633737572843</v>
      </c>
      <c r="K26" s="259">
        <f>+'Historical Financials'!X253</f>
        <v>0.19099018776633803</v>
      </c>
      <c r="L26" s="259">
        <f>+'Historical Financials'!Y253</f>
        <v>0.14705323370581125</v>
      </c>
      <c r="M26" s="259">
        <f>+'Historical Financials'!Z253</f>
        <v>0.23999999999999977</v>
      </c>
      <c r="N26" s="259">
        <f>+'Historical Financials'!AA253</f>
        <v>0.18059846462382501</v>
      </c>
      <c r="O26" s="259">
        <f>+'Historical Financials'!AB253</f>
        <v>0.25000000000000022</v>
      </c>
      <c r="P26" s="259">
        <f>+'Historical Financials'!AC253</f>
        <v>0.30000000000000004</v>
      </c>
      <c r="Q26" s="259">
        <f>+'Historical Financials'!AD253</f>
        <v>0.20999999999999996</v>
      </c>
      <c r="R26" s="259">
        <f>+'Historical Financials'!AE253</f>
        <v>0.24936635460556889</v>
      </c>
      <c r="S26" s="259">
        <f>+'Historical Financials'!AF253</f>
        <v>0.21999936552067201</v>
      </c>
      <c r="T26" s="259">
        <f>+'Historical Financials'!AG253</f>
        <v>0.18000050506773335</v>
      </c>
      <c r="U26" s="259">
        <f>+'Historical Financials'!AH253</f>
        <v>0.19000051018003616</v>
      </c>
      <c r="V26" s="259">
        <f>+'Historical Financials'!AI253</f>
        <v>0.17413356357267973</v>
      </c>
    </row>
    <row r="27" spans="2:22" x14ac:dyDescent="0.2">
      <c r="B27" t="s">
        <v>587</v>
      </c>
      <c r="G27" s="260">
        <f>+'Historical Financials'!T331</f>
        <v>5.2521737500299398E-2</v>
      </c>
      <c r="H27" s="260">
        <f>+'Historical Financials'!U331</f>
        <v>5.5727829417572303E-2</v>
      </c>
      <c r="I27" s="260">
        <f>+'Historical Financials'!V331</f>
        <v>5.1547105853767893E-2</v>
      </c>
      <c r="J27" s="260">
        <f>+'Historical Financials'!W331</f>
        <v>5.6142787571689723E-2</v>
      </c>
      <c r="K27" s="260">
        <f>+'Historical Financials'!X331</f>
        <v>5.6452902027095096E-2</v>
      </c>
      <c r="L27" s="260">
        <f>+'Historical Financials'!Y331</f>
        <v>6.9843199642327797E-2</v>
      </c>
      <c r="M27" s="260">
        <f>+'Historical Financials'!Z331</f>
        <v>7.0069408545119991E-2</v>
      </c>
      <c r="N27" s="260">
        <f>+'Historical Financials'!AA331</f>
        <v>6.9276866473433063E-2</v>
      </c>
      <c r="O27" s="260">
        <f>+'Historical Financials'!AB331</f>
        <v>6.8995528452332797E-2</v>
      </c>
      <c r="P27" s="260">
        <f>+'Historical Financials'!AC331</f>
        <v>8.2418700624894259E-2</v>
      </c>
      <c r="Q27" s="260">
        <f>+'Historical Financials'!AD331</f>
        <v>8.1323167103180688E-2</v>
      </c>
      <c r="R27" s="260">
        <f>+'Historical Financials'!AE331</f>
        <v>9.0023195166857514E-2</v>
      </c>
      <c r="S27" s="260">
        <f>+'Historical Financials'!AF331</f>
        <v>8.8145867915306098E-2</v>
      </c>
      <c r="T27" s="260">
        <f>+'Historical Financials'!AG331</f>
        <v>9.0823275856799945E-2</v>
      </c>
      <c r="U27" s="260">
        <f>+'Historical Financials'!AH331</f>
        <v>8.4447989701232504E-2</v>
      </c>
      <c r="V27" s="260">
        <f>+'Historical Financials'!AI331</f>
        <v>8.3044901028228771E-2</v>
      </c>
    </row>
    <row r="28" spans="2:22" x14ac:dyDescent="0.2">
      <c r="G28" s="260"/>
      <c r="H28" s="260"/>
      <c r="I28" s="260"/>
      <c r="J28" s="260"/>
      <c r="K28" s="260"/>
      <c r="L28" s="260"/>
      <c r="M28" s="260"/>
      <c r="N28" s="260"/>
      <c r="O28" s="260"/>
      <c r="P28" s="260"/>
      <c r="Q28" s="260"/>
      <c r="R28" s="260"/>
      <c r="S28" s="260"/>
      <c r="T28" s="260"/>
      <c r="U28" s="261"/>
      <c r="V28" s="261"/>
    </row>
    <row r="29" spans="2:22" x14ac:dyDescent="0.2">
      <c r="B29" s="263" t="s">
        <v>566</v>
      </c>
      <c r="C29" s="1"/>
      <c r="D29" s="1"/>
      <c r="E29" s="1"/>
      <c r="F29" s="1"/>
      <c r="G29" s="260"/>
      <c r="H29" s="260"/>
      <c r="I29" s="260"/>
      <c r="J29" s="260"/>
      <c r="K29" s="260"/>
      <c r="L29" s="260"/>
      <c r="M29" s="260"/>
      <c r="N29" s="260"/>
      <c r="O29" s="260"/>
      <c r="P29" s="260"/>
      <c r="Q29" s="260"/>
      <c r="R29" s="260"/>
      <c r="S29" s="260"/>
      <c r="T29" s="260"/>
      <c r="U29" s="261"/>
      <c r="V29" s="261"/>
    </row>
    <row r="30" spans="2:22" x14ac:dyDescent="0.2">
      <c r="G30" s="260"/>
      <c r="H30" s="260"/>
      <c r="I30" s="260"/>
      <c r="J30" s="260"/>
      <c r="K30" s="260"/>
      <c r="L30" s="260"/>
      <c r="M30" s="260"/>
      <c r="N30" s="260"/>
      <c r="O30" s="260"/>
      <c r="P30" s="260"/>
      <c r="Q30" s="260"/>
      <c r="R30" s="260"/>
      <c r="S30" s="260"/>
      <c r="T30" s="260"/>
      <c r="U30" s="261"/>
      <c r="V30" s="261"/>
    </row>
    <row r="31" spans="2:22" x14ac:dyDescent="0.2">
      <c r="B31" t="s">
        <v>571</v>
      </c>
      <c r="G31" s="259">
        <f>+'Historical Financials'!T19</f>
        <v>1.5693358119684575</v>
      </c>
      <c r="H31" s="259">
        <f>+'Historical Financials'!U19</f>
        <v>0.63554164935125335</v>
      </c>
      <c r="I31" s="259">
        <f>+'Historical Financials'!V19</f>
        <v>0.43746349571592291</v>
      </c>
      <c r="J31" s="259">
        <f>+'Historical Financials'!W19</f>
        <v>0.18513004060094174</v>
      </c>
      <c r="K31" s="259">
        <f>+'Historical Financials'!X19</f>
        <v>0.28678333380339938</v>
      </c>
      <c r="L31" s="259">
        <f>+'Historical Financials'!Y19</f>
        <v>0.39226037847906059</v>
      </c>
      <c r="M31" s="259">
        <f>+'Historical Financials'!Z19</f>
        <v>0.58391058622251402</v>
      </c>
      <c r="N31" s="259">
        <f>+'Historical Financials'!AA19</f>
        <v>0.3808339629505475</v>
      </c>
      <c r="O31" s="259">
        <f>+'Historical Financials'!AB19</f>
        <v>0.50037384850282995</v>
      </c>
      <c r="P31" s="259">
        <f>+'Historical Financials'!AC19</f>
        <v>0.50690648354835566</v>
      </c>
      <c r="Q31" s="259">
        <f>+'Historical Financials'!AD19</f>
        <v>0.39619269852979588</v>
      </c>
      <c r="R31" s="259">
        <f>+'Historical Financials'!AE19</f>
        <v>0.57194570951141555</v>
      </c>
      <c r="S31" s="259">
        <f>+'Historical Financials'!AF19</f>
        <v>0.55834602644959386</v>
      </c>
      <c r="T31" s="259">
        <f>+'Historical Financials'!AG19</f>
        <v>0.29481150510490517</v>
      </c>
      <c r="U31" s="259">
        <f>+'Historical Financials'!AH19</f>
        <v>0.24348474103221651</v>
      </c>
      <c r="V31" s="259">
        <f>+'Historical Financials'!AI19</f>
        <v>0.15978039941829647</v>
      </c>
    </row>
    <row r="32" spans="2:22" ht="10.15" x14ac:dyDescent="0.2">
      <c r="G32" s="259"/>
      <c r="H32" s="259"/>
      <c r="I32" s="259"/>
      <c r="J32" s="259"/>
      <c r="K32" s="259"/>
      <c r="L32" s="259"/>
      <c r="M32" s="259"/>
      <c r="N32" s="259"/>
      <c r="O32" s="259"/>
      <c r="P32" s="259"/>
      <c r="Q32" s="259"/>
      <c r="R32" s="259"/>
      <c r="S32" s="259"/>
      <c r="T32" s="259"/>
      <c r="U32" s="264"/>
    </row>
  </sheetData>
  <phoneticPr fontId="4" type="noConversion"/>
  <pageMargins left="0.3" right="0.3" top="0.3" bottom="0.3" header="0.3" footer="0.3"/>
  <pageSetup scale="67" orientation="portrait" horizontalDpi="1200" verticalDpi="1200" r:id="rId1"/>
  <headerFooter>
    <oddFooter>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7B54F80F9326D4AB5846AC1C3383526" ma:contentTypeVersion="18" ma:contentTypeDescription="Create a new document." ma:contentTypeScope="" ma:versionID="a429a91d62400243b3cba045310d747f">
  <xsd:schema xmlns:xsd="http://www.w3.org/2001/XMLSchema" xmlns:xs="http://www.w3.org/2001/XMLSchema" xmlns:p="http://schemas.microsoft.com/office/2006/metadata/properties" xmlns:ns2="700f816a-2d70-48f7-98b4-aa062cbdb163" xmlns:ns3="684023ab-f3fa-4f75-8c85-aad38775666c" targetNamespace="http://schemas.microsoft.com/office/2006/metadata/properties" ma:root="true" ma:fieldsID="9fd41046c3a9fbdd1121c909508001eb" ns2:_="" ns3:_="">
    <xsd:import namespace="700f816a-2d70-48f7-98b4-aa062cbdb163"/>
    <xsd:import namespace="684023ab-f3fa-4f75-8c85-aad38775666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f816a-2d70-48f7-98b4-aa062cbdb1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ceb9303-a7f0-4f8a-8c8a-ed661295ba0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4023ab-f3fa-4f75-8c85-aad38775666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493c1c2-3348-4bb2-9cf0-bfee56a9355e}" ma:internalName="TaxCatchAll" ma:showField="CatchAllData" ma:web="684023ab-f3fa-4f75-8c85-aad3877566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84023ab-f3fa-4f75-8c85-aad38775666c" xsi:nil="true"/>
    <lcf76f155ced4ddcb4097134ff3c332f xmlns="700f816a-2d70-48f7-98b4-aa062cbdb16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FDB5318-D0A9-461D-A40B-17BFEAEA9E32}">
  <ds:schemaRefs>
    <ds:schemaRef ds:uri="http://schemas.microsoft.com/sharepoint/v3/contenttype/forms"/>
  </ds:schemaRefs>
</ds:datastoreItem>
</file>

<file path=customXml/itemProps2.xml><?xml version="1.0" encoding="utf-8"?>
<ds:datastoreItem xmlns:ds="http://schemas.openxmlformats.org/officeDocument/2006/customXml" ds:itemID="{303786E7-4774-4F65-8979-7197E41BC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0f816a-2d70-48f7-98b4-aa062cbdb163"/>
    <ds:schemaRef ds:uri="684023ab-f3fa-4f75-8c85-aad3877566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E60ABE-15F1-411D-8E4C-66C9FF3943A1}">
  <ds:schemaRefs>
    <ds:schemaRef ds:uri="http://schemas.openxmlformats.org/package/2006/metadata/core-properties"/>
    <ds:schemaRef ds:uri="http://schemas.microsoft.com/office/2006/documentManagement/types"/>
    <ds:schemaRef ds:uri="http://purl.org/dc/dcmitype/"/>
    <ds:schemaRef ds:uri="http://purl.org/dc/elements/1.1/"/>
    <ds:schemaRef ds:uri="684023ab-f3fa-4f75-8c85-aad38775666c"/>
    <ds:schemaRef ds:uri="http://schemas.microsoft.com/office/infopath/2007/PartnerControls"/>
    <ds:schemaRef ds:uri="http://purl.org/dc/terms/"/>
    <ds:schemaRef ds:uri="http://www.w3.org/XML/1998/namespace"/>
    <ds:schemaRef ds:uri="700f816a-2d70-48f7-98b4-aa062cbdb16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11</vt:i4>
      </vt:variant>
    </vt:vector>
  </HeadingPairs>
  <TitlesOfParts>
    <vt:vector size="24" baseType="lpstr">
      <vt:lpstr>Simple Model - Case 1</vt:lpstr>
      <vt:lpstr>TAM_Penetration - Case 1</vt:lpstr>
      <vt:lpstr>Historical Financials</vt:lpstr>
      <vt:lpstr>CRC vs. Consensus</vt:lpstr>
      <vt:lpstr>4Q24 S&amp;M Analysis</vt:lpstr>
      <vt:lpstr>Variance Analysis</vt:lpstr>
      <vt:lpstr>2023 Cash Analysis</vt:lpstr>
      <vt:lpstr>Offshore Cash_Int Income</vt:lpstr>
      <vt:lpstr>Sheet1</vt:lpstr>
      <vt:lpstr>Sheet9</vt:lpstr>
      <vt:lpstr>Sheet2</vt:lpstr>
      <vt:lpstr>Profit Commentary</vt:lpstr>
      <vt:lpstr>OTR</vt:lpstr>
      <vt:lpstr>'2023 Cash Analysis'!Print_Area</vt:lpstr>
      <vt:lpstr>'4Q24 S&amp;M Analysis'!Print_Area</vt:lpstr>
      <vt:lpstr>'CRC vs. Consensus'!Print_Area</vt:lpstr>
      <vt:lpstr>'Historical Financials'!Print_Area</vt:lpstr>
      <vt:lpstr>'Offshore Cash_Int Income'!Print_Area</vt:lpstr>
      <vt:lpstr>OTR!Print_Area</vt:lpstr>
      <vt:lpstr>'Profit Commentary'!Print_Area</vt:lpstr>
      <vt:lpstr>'Simple Model - Case 1'!Print_Area</vt:lpstr>
      <vt:lpstr>'TAM_Penetration - Case 1'!Print_Area</vt:lpstr>
      <vt:lpstr>'Variance Analysis'!Print_Area</vt:lpstr>
      <vt:lpstr>'Historical Financials'!Print_Titles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Nicolau</dc:creator>
  <cp:lastModifiedBy>Alex Nicolau</cp:lastModifiedBy>
  <cp:lastPrinted>2024-12-18T21:54:43Z</cp:lastPrinted>
  <dcterms:created xsi:type="dcterms:W3CDTF">2023-12-12T18:25:46Z</dcterms:created>
  <dcterms:modified xsi:type="dcterms:W3CDTF">2025-05-19T21:52:24Z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0x01010097B54F80F9326D4AB5846AC1C3383526</vt:lpwstr>
  </property>
  <property fmtid="{D5CDD505-2E9C-101B-9397-08002B2CF9AE}" pid="3" name="MediaServiceImageTags">
    <vt:lpwstr/>
  </property>
</Properties>
</file>